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FINANCIJSKI PLANOVI I PLANOVI NABAVE\PLAN 2026\REBALANS BR 1\"/>
    </mc:Choice>
  </mc:AlternateContent>
  <xr:revisionPtr revIDLastSave="0" documentId="13_ncr:1_{80B7EE18-ABED-4F53-8FDF-FA9868427C2F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AŽETAK" sheetId="8" r:id="rId1"/>
    <sheet name=" Račun prihoda i rashoda po eko" sheetId="9" r:id="rId2"/>
    <sheet name="Prihodi i rashodi po izvorima" sheetId="11" r:id="rId3"/>
    <sheet name="Rashodi prema funkcijskoj kl" sheetId="5" r:id="rId4"/>
    <sheet name="POSEBNI DIO" sheetId="7" r:id="rId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5" l="1"/>
  <c r="I13" i="8"/>
  <c r="I12" i="8"/>
  <c r="I9" i="8"/>
  <c r="G17" i="11"/>
  <c r="G11" i="11"/>
  <c r="G16" i="9"/>
  <c r="G12" i="9"/>
  <c r="H15" i="9"/>
  <c r="I15" i="9"/>
  <c r="H12" i="9"/>
  <c r="I12" i="9"/>
  <c r="G15" i="9"/>
  <c r="H14" i="9"/>
  <c r="I14" i="9"/>
  <c r="G14" i="9"/>
  <c r="H17" i="9"/>
  <c r="I17" i="9"/>
  <c r="G17" i="9"/>
  <c r="H37" i="11"/>
  <c r="I37" i="11"/>
  <c r="H35" i="11"/>
  <c r="I35" i="11"/>
  <c r="H33" i="11"/>
  <c r="I33" i="11"/>
  <c r="H28" i="11"/>
  <c r="I28" i="11"/>
  <c r="H26" i="11"/>
  <c r="I26" i="11"/>
  <c r="H25" i="11"/>
  <c r="I25" i="11"/>
  <c r="G35" i="11"/>
  <c r="G25" i="11"/>
  <c r="H78" i="7"/>
  <c r="H77" i="7" s="1"/>
  <c r="H75" i="7"/>
  <c r="H71" i="7"/>
  <c r="H90" i="7"/>
  <c r="H74" i="7"/>
  <c r="H73" i="7" s="1"/>
  <c r="H89" i="7"/>
  <c r="H88" i="7" s="1"/>
  <c r="G36" i="11" s="1"/>
  <c r="H109" i="7"/>
  <c r="H113" i="7"/>
  <c r="H105" i="7"/>
  <c r="I56" i="7"/>
  <c r="J56" i="7"/>
  <c r="I85" i="7"/>
  <c r="J85" i="7"/>
  <c r="I93" i="7"/>
  <c r="J93" i="7"/>
  <c r="H93" i="7"/>
  <c r="I111" i="7"/>
  <c r="J111" i="7"/>
  <c r="H111" i="7"/>
  <c r="I75" i="7"/>
  <c r="J75" i="7"/>
  <c r="I107" i="7"/>
  <c r="J107" i="7"/>
  <c r="H107" i="7"/>
  <c r="I69" i="7"/>
  <c r="J69" i="7"/>
  <c r="I68" i="7"/>
  <c r="J68" i="7"/>
  <c r="H69" i="7"/>
  <c r="H68" i="7"/>
  <c r="H67" i="7" s="1"/>
  <c r="H66" i="7" s="1"/>
  <c r="H85" i="7"/>
  <c r="H56" i="7"/>
  <c r="H57" i="7"/>
  <c r="I86" i="7"/>
  <c r="J86" i="7"/>
  <c r="H86" i="7"/>
  <c r="H87" i="7"/>
  <c r="G29" i="9" s="1"/>
  <c r="I168" i="7"/>
  <c r="J168" i="7"/>
  <c r="I169" i="7"/>
  <c r="J169" i="7"/>
  <c r="H169" i="7"/>
  <c r="H168" i="7"/>
  <c r="H149" i="7"/>
  <c r="I155" i="7"/>
  <c r="J155" i="7"/>
  <c r="H155" i="7"/>
  <c r="I173" i="7"/>
  <c r="J173" i="7"/>
  <c r="H173" i="7"/>
  <c r="H171" i="7" s="1"/>
  <c r="H170" i="7" s="1"/>
  <c r="I172" i="7"/>
  <c r="J172" i="7"/>
  <c r="H172" i="7"/>
  <c r="I165" i="7"/>
  <c r="J165" i="7"/>
  <c r="I164" i="7"/>
  <c r="J164" i="7"/>
  <c r="H165" i="7"/>
  <c r="H164" i="7"/>
  <c r="H163" i="7" s="1"/>
  <c r="H162" i="7" s="1"/>
  <c r="H160" i="7"/>
  <c r="H158" i="7" s="1"/>
  <c r="H157" i="7" s="1"/>
  <c r="H159" i="7"/>
  <c r="I135" i="7"/>
  <c r="J135" i="7"/>
  <c r="H135" i="7"/>
  <c r="I130" i="7"/>
  <c r="J130" i="7"/>
  <c r="H130" i="7"/>
  <c r="I34" i="7"/>
  <c r="J34" i="7"/>
  <c r="H34" i="7"/>
  <c r="I26" i="7"/>
  <c r="J26" i="7"/>
  <c r="I22" i="7"/>
  <c r="J22" i="7"/>
  <c r="I18" i="7"/>
  <c r="J18" i="7"/>
  <c r="I14" i="7"/>
  <c r="J14" i="7"/>
  <c r="I10" i="7"/>
  <c r="J10" i="7"/>
  <c r="H30" i="7"/>
  <c r="H29" i="7" s="1"/>
  <c r="H26" i="7"/>
  <c r="H22" i="7"/>
  <c r="H18" i="7"/>
  <c r="H14" i="7"/>
  <c r="H13" i="7" s="1"/>
  <c r="H12" i="7" s="1"/>
  <c r="H10" i="7"/>
  <c r="G62" i="11"/>
  <c r="G47" i="11"/>
  <c r="G38" i="11"/>
  <c r="G34" i="11"/>
  <c r="G10" i="11"/>
  <c r="G32" i="9"/>
  <c r="G28" i="9"/>
  <c r="I34" i="8"/>
  <c r="I37" i="8" s="1"/>
  <c r="I21" i="8"/>
  <c r="H154" i="7"/>
  <c r="H153" i="7"/>
  <c r="H151" i="7"/>
  <c r="H150" i="7"/>
  <c r="H148" i="7"/>
  <c r="H147" i="7"/>
  <c r="H145" i="7"/>
  <c r="H143" i="7"/>
  <c r="H142" i="7"/>
  <c r="H139" i="7"/>
  <c r="H138" i="7" s="1"/>
  <c r="H137" i="7"/>
  <c r="H134" i="7"/>
  <c r="H133" i="7"/>
  <c r="H132" i="7"/>
  <c r="H129" i="7"/>
  <c r="H128" i="7" s="1"/>
  <c r="H124" i="7"/>
  <c r="H122" i="7"/>
  <c r="H120" i="7"/>
  <c r="H118" i="7"/>
  <c r="H116" i="7"/>
  <c r="H114" i="7"/>
  <c r="H110" i="7"/>
  <c r="H108" i="7"/>
  <c r="H106" i="7"/>
  <c r="H103" i="7"/>
  <c r="H101" i="7"/>
  <c r="H99" i="7"/>
  <c r="H97" i="7"/>
  <c r="H96" i="7"/>
  <c r="H94" i="7"/>
  <c r="H92" i="7"/>
  <c r="H81" i="7"/>
  <c r="H79" i="7"/>
  <c r="H70" i="7"/>
  <c r="H63" i="7"/>
  <c r="H62" i="7"/>
  <c r="H58" i="7"/>
  <c r="H55" i="7"/>
  <c r="H50" i="7"/>
  <c r="H49" i="7"/>
  <c r="H46" i="7"/>
  <c r="H45" i="7"/>
  <c r="H43" i="7"/>
  <c r="H42" i="7"/>
  <c r="H40" i="7"/>
  <c r="H39" i="7"/>
  <c r="H37" i="7"/>
  <c r="H36" i="7"/>
  <c r="H33" i="7"/>
  <c r="H32" i="7" s="1"/>
  <c r="H25" i="7"/>
  <c r="H24" i="7" s="1"/>
  <c r="H23" i="7"/>
  <c r="H21" i="7"/>
  <c r="H20" i="7" s="1"/>
  <c r="H19" i="7"/>
  <c r="H17" i="7"/>
  <c r="H9" i="7"/>
  <c r="G11" i="9" l="1"/>
  <c r="G10" i="9" s="1"/>
  <c r="H112" i="7"/>
  <c r="G29" i="11" s="1"/>
  <c r="G26" i="11"/>
  <c r="H54" i="7"/>
  <c r="H53" i="7" s="1"/>
  <c r="H35" i="7" s="1"/>
  <c r="H84" i="7"/>
  <c r="H83" i="7" s="1"/>
  <c r="H65" i="7" s="1"/>
  <c r="H167" i="7"/>
  <c r="H166" i="7" s="1"/>
  <c r="H161" i="7" s="1"/>
  <c r="G33" i="11"/>
  <c r="G26" i="9"/>
  <c r="G25" i="9"/>
  <c r="H28" i="7"/>
  <c r="H27" i="7"/>
  <c r="G31" i="9"/>
  <c r="G30" i="9" s="1"/>
  <c r="G27" i="9"/>
  <c r="H156" i="7"/>
  <c r="H141" i="7"/>
  <c r="H127" i="7"/>
  <c r="G28" i="11"/>
  <c r="G27" i="11"/>
  <c r="G37" i="11"/>
  <c r="H11" i="7"/>
  <c r="H8" i="7"/>
  <c r="H7" i="7"/>
  <c r="H16" i="7"/>
  <c r="H15" i="7"/>
  <c r="H31" i="7"/>
  <c r="G24" i="9" l="1"/>
  <c r="G23" i="9" s="1"/>
  <c r="H126" i="7"/>
  <c r="H6" i="7"/>
  <c r="F12" i="9"/>
  <c r="G24" i="11" l="1"/>
  <c r="H4" i="7"/>
  <c r="F17" i="11" l="1"/>
  <c r="F11" i="11"/>
  <c r="H34" i="8"/>
  <c r="G34" i="8"/>
  <c r="F16" i="9"/>
  <c r="F47" i="11"/>
  <c r="H47" i="11"/>
  <c r="I47" i="11"/>
  <c r="F15" i="9" l="1"/>
  <c r="F14" i="9"/>
  <c r="F17" i="9"/>
  <c r="D13" i="5"/>
  <c r="F62" i="11"/>
  <c r="H62" i="11"/>
  <c r="I62" i="11"/>
  <c r="G90" i="7"/>
  <c r="G71" i="7"/>
  <c r="G123" i="7"/>
  <c r="G86" i="7"/>
  <c r="G85" i="7"/>
  <c r="G56" i="7"/>
  <c r="G111" i="7"/>
  <c r="G75" i="7"/>
  <c r="G107" i="7" l="1"/>
  <c r="G68" i="7"/>
  <c r="G93" i="7"/>
  <c r="G173" i="7"/>
  <c r="G172" i="7"/>
  <c r="G168" i="7"/>
  <c r="G169" i="7"/>
  <c r="G165" i="7"/>
  <c r="G164" i="7"/>
  <c r="G160" i="7"/>
  <c r="G159" i="7"/>
  <c r="G135" i="7"/>
  <c r="G130" i="7"/>
  <c r="G26" i="7"/>
  <c r="G18" i="7"/>
  <c r="G10" i="7"/>
  <c r="J21" i="8"/>
  <c r="H32" i="9"/>
  <c r="H31" i="9"/>
  <c r="H29" i="9"/>
  <c r="H28" i="9"/>
  <c r="H27" i="9"/>
  <c r="H11" i="9"/>
  <c r="H10" i="11"/>
  <c r="I171" i="7"/>
  <c r="I170" i="7" s="1"/>
  <c r="I167" i="7"/>
  <c r="I166" i="7" s="1"/>
  <c r="I163" i="7"/>
  <c r="I162" i="7" s="1"/>
  <c r="I158" i="7"/>
  <c r="I154" i="7"/>
  <c r="I153" i="7" s="1"/>
  <c r="I151" i="7"/>
  <c r="I150" i="7" s="1"/>
  <c r="I148" i="7"/>
  <c r="I147" i="7" s="1"/>
  <c r="I145" i="7"/>
  <c r="I143" i="7"/>
  <c r="I139" i="7"/>
  <c r="I134" i="7"/>
  <c r="I129" i="7"/>
  <c r="I124" i="7"/>
  <c r="I122" i="7"/>
  <c r="I120" i="7"/>
  <c r="I118" i="7"/>
  <c r="I116" i="7"/>
  <c r="I114" i="7"/>
  <c r="I112" i="7"/>
  <c r="I110" i="7"/>
  <c r="I108" i="7"/>
  <c r="I106" i="7"/>
  <c r="I103" i="7"/>
  <c r="I101" i="7"/>
  <c r="I99" i="7"/>
  <c r="I97" i="7"/>
  <c r="I94" i="7"/>
  <c r="I92" i="7"/>
  <c r="I89" i="7"/>
  <c r="I88" i="7" s="1"/>
  <c r="I84" i="7"/>
  <c r="I83" i="7" s="1"/>
  <c r="I81" i="7"/>
  <c r="I79" i="7"/>
  <c r="I77" i="7"/>
  <c r="I74" i="7"/>
  <c r="I73" i="7" s="1"/>
  <c r="I70" i="7"/>
  <c r="I67" i="7"/>
  <c r="I66" i="7" s="1"/>
  <c r="I63" i="7"/>
  <c r="I62" i="7" s="1"/>
  <c r="I58" i="7"/>
  <c r="H26" i="9" s="1"/>
  <c r="I55" i="7"/>
  <c r="H25" i="9" s="1"/>
  <c r="I50" i="7"/>
  <c r="I49" i="7" s="1"/>
  <c r="I46" i="7"/>
  <c r="I45" i="7" s="1"/>
  <c r="I43" i="7"/>
  <c r="I42" i="7" s="1"/>
  <c r="I40" i="7"/>
  <c r="I39" i="7" s="1"/>
  <c r="I37" i="7"/>
  <c r="I36" i="7" s="1"/>
  <c r="I33" i="7"/>
  <c r="I31" i="7" s="1"/>
  <c r="I29" i="7"/>
  <c r="I28" i="7" s="1"/>
  <c r="I25" i="7"/>
  <c r="I23" i="7" s="1"/>
  <c r="I21" i="7"/>
  <c r="I20" i="7" s="1"/>
  <c r="I17" i="7"/>
  <c r="I15" i="7" s="1"/>
  <c r="I13" i="7"/>
  <c r="I11" i="7" s="1"/>
  <c r="I9" i="7"/>
  <c r="I7" i="7" s="1"/>
  <c r="H10" i="9" l="1"/>
  <c r="I8" i="8"/>
  <c r="H34" i="11"/>
  <c r="H36" i="11"/>
  <c r="H38" i="11"/>
  <c r="I24" i="7"/>
  <c r="H29" i="11"/>
  <c r="I27" i="7"/>
  <c r="H27" i="11"/>
  <c r="I142" i="7"/>
  <c r="I141" i="7" s="1"/>
  <c r="I32" i="7"/>
  <c r="J9" i="8"/>
  <c r="J8" i="8" s="1"/>
  <c r="H30" i="9"/>
  <c r="I16" i="7"/>
  <c r="I12" i="7"/>
  <c r="H24" i="9"/>
  <c r="I65" i="7"/>
  <c r="I54" i="7"/>
  <c r="I53" i="7" s="1"/>
  <c r="I19" i="7"/>
  <c r="I8" i="7"/>
  <c r="I137" i="7"/>
  <c r="I138" i="7"/>
  <c r="I157" i="7"/>
  <c r="I156" i="7"/>
  <c r="I161" i="7"/>
  <c r="I128" i="7"/>
  <c r="I127" i="7"/>
  <c r="I133" i="7"/>
  <c r="I132" i="7"/>
  <c r="I105" i="7"/>
  <c r="I96" i="7"/>
  <c r="J13" i="8" l="1"/>
  <c r="J12" i="8"/>
  <c r="I11" i="8"/>
  <c r="I126" i="7"/>
  <c r="H24" i="11"/>
  <c r="I35" i="7"/>
  <c r="I6" i="7" s="1"/>
  <c r="H23" i="9"/>
  <c r="J11" i="8" l="1"/>
  <c r="J14" i="8" s="1"/>
  <c r="J22" i="8" s="1"/>
  <c r="I14" i="8"/>
  <c r="I29" i="8" s="1"/>
  <c r="E10" i="5"/>
  <c r="I4" i="7"/>
  <c r="F10" i="5" l="1"/>
  <c r="F12" i="5" s="1"/>
  <c r="F11" i="5" s="1"/>
  <c r="I22" i="8"/>
  <c r="E11" i="5"/>
  <c r="J29" i="8"/>
  <c r="C13" i="5"/>
  <c r="C12" i="5" s="1"/>
  <c r="F123" i="7" l="1"/>
  <c r="E14" i="11"/>
  <c r="E16" i="11"/>
  <c r="E17" i="11"/>
  <c r="E11" i="11"/>
  <c r="E12" i="9"/>
  <c r="E16" i="9"/>
  <c r="E47" i="11"/>
  <c r="E18" i="11"/>
  <c r="E13" i="11"/>
  <c r="E12" i="11"/>
  <c r="E29" i="9"/>
  <c r="E15" i="9"/>
  <c r="E14" i="9"/>
  <c r="E17" i="9"/>
  <c r="F71" i="7" l="1"/>
  <c r="F82" i="7"/>
  <c r="F90" i="7"/>
  <c r="F95" i="7"/>
  <c r="F78" i="7"/>
  <c r="F100" i="7"/>
  <c r="F109" i="7"/>
  <c r="F113" i="7"/>
  <c r="F117" i="7"/>
  <c r="F125" i="7"/>
  <c r="E105" i="7"/>
  <c r="J124" i="7"/>
  <c r="G124" i="7"/>
  <c r="E124" i="7"/>
  <c r="F86" i="7"/>
  <c r="F85" i="7"/>
  <c r="F56" i="7"/>
  <c r="F93" i="7"/>
  <c r="F155" i="7"/>
  <c r="F173" i="7"/>
  <c r="F172" i="7"/>
  <c r="F75" i="7"/>
  <c r="F76" i="7"/>
  <c r="F111" i="7"/>
  <c r="F107" i="7"/>
  <c r="F98" i="7"/>
  <c r="F69" i="7"/>
  <c r="F68" i="7"/>
  <c r="F149" i="7"/>
  <c r="F168" i="7"/>
  <c r="F169" i="7"/>
  <c r="F18" i="7"/>
  <c r="F22" i="7"/>
  <c r="F10" i="7"/>
  <c r="F14" i="7"/>
  <c r="F26" i="7"/>
  <c r="J29" i="7"/>
  <c r="G29" i="7"/>
  <c r="G28" i="7" s="1"/>
  <c r="F29" i="7"/>
  <c r="F28" i="7" s="1"/>
  <c r="E29" i="7"/>
  <c r="E28" i="7" s="1"/>
  <c r="F34" i="7"/>
  <c r="F130" i="7"/>
  <c r="F136" i="7"/>
  <c r="F135" i="7"/>
  <c r="F140" i="7"/>
  <c r="F144" i="7"/>
  <c r="F160" i="7"/>
  <c r="F159" i="7"/>
  <c r="F165" i="7"/>
  <c r="F164" i="7"/>
  <c r="E27" i="9" l="1"/>
  <c r="E28" i="9"/>
  <c r="E32" i="9"/>
  <c r="E31" i="9"/>
  <c r="F105" i="7"/>
  <c r="F124" i="7"/>
  <c r="E27" i="7"/>
  <c r="J28" i="7"/>
  <c r="J27" i="7"/>
  <c r="F27" i="7"/>
  <c r="G27" i="7"/>
  <c r="J105" i="7" l="1"/>
  <c r="I29" i="9"/>
  <c r="F29" i="9"/>
  <c r="I28" i="9"/>
  <c r="I27" i="9"/>
  <c r="F32" i="9" l="1"/>
  <c r="I32" i="9"/>
  <c r="F31" i="9"/>
  <c r="I31" i="9"/>
  <c r="F28" i="9"/>
  <c r="F27" i="9"/>
  <c r="G105" i="7"/>
  <c r="F122" i="7"/>
  <c r="G122" i="7"/>
  <c r="J122" i="7"/>
  <c r="E122" i="7"/>
  <c r="F120" i="7"/>
  <c r="G120" i="7"/>
  <c r="J120" i="7"/>
  <c r="E120" i="7"/>
  <c r="F118" i="7"/>
  <c r="G118" i="7"/>
  <c r="J118" i="7"/>
  <c r="E118" i="7"/>
  <c r="F116" i="7"/>
  <c r="G116" i="7"/>
  <c r="J116" i="7"/>
  <c r="E116" i="7"/>
  <c r="F114" i="7"/>
  <c r="G114" i="7"/>
  <c r="J114" i="7"/>
  <c r="E114" i="7"/>
  <c r="F112" i="7"/>
  <c r="G112" i="7"/>
  <c r="J112" i="7"/>
  <c r="E112" i="7"/>
  <c r="F110" i="7"/>
  <c r="G110" i="7"/>
  <c r="J110" i="7"/>
  <c r="E110" i="7"/>
  <c r="F108" i="7"/>
  <c r="G108" i="7"/>
  <c r="J108" i="7"/>
  <c r="E108" i="7"/>
  <c r="F106" i="7"/>
  <c r="G106" i="7"/>
  <c r="J106" i="7"/>
  <c r="E106" i="7"/>
  <c r="F103" i="7"/>
  <c r="G103" i="7"/>
  <c r="J103" i="7"/>
  <c r="E103" i="7"/>
  <c r="F101" i="7"/>
  <c r="G101" i="7"/>
  <c r="J101" i="7"/>
  <c r="E101" i="7"/>
  <c r="F99" i="7"/>
  <c r="G99" i="7"/>
  <c r="J99" i="7"/>
  <c r="E99" i="7"/>
  <c r="F97" i="7"/>
  <c r="G97" i="7"/>
  <c r="J97" i="7"/>
  <c r="E97" i="7"/>
  <c r="F167" i="7" l="1"/>
  <c r="F166" i="7" s="1"/>
  <c r="F163" i="7"/>
  <c r="F162" i="7" s="1"/>
  <c r="J171" i="7"/>
  <c r="J170" i="7" s="1"/>
  <c r="G171" i="7"/>
  <c r="G170" i="7" s="1"/>
  <c r="F171" i="7"/>
  <c r="F170" i="7" s="1"/>
  <c r="E171" i="7"/>
  <c r="E170" i="7" s="1"/>
  <c r="J167" i="7"/>
  <c r="J166" i="7" s="1"/>
  <c r="G167" i="7"/>
  <c r="G166" i="7" s="1"/>
  <c r="E167" i="7"/>
  <c r="E166" i="7" s="1"/>
  <c r="J163" i="7"/>
  <c r="J162" i="7" s="1"/>
  <c r="G163" i="7"/>
  <c r="G162" i="7" s="1"/>
  <c r="E163" i="7"/>
  <c r="E162" i="7" s="1"/>
  <c r="J148" i="7"/>
  <c r="J147" i="7" s="1"/>
  <c r="G148" i="7"/>
  <c r="G147" i="7" s="1"/>
  <c r="F148" i="7"/>
  <c r="F147" i="7" s="1"/>
  <c r="E148" i="7"/>
  <c r="E147" i="7" s="1"/>
  <c r="J79" i="7"/>
  <c r="G79" i="7"/>
  <c r="F79" i="7"/>
  <c r="E79" i="7"/>
  <c r="J33" i="7"/>
  <c r="J31" i="7" s="1"/>
  <c r="G33" i="7"/>
  <c r="G32" i="7" s="1"/>
  <c r="F33" i="7"/>
  <c r="F31" i="7" s="1"/>
  <c r="E33" i="7"/>
  <c r="E32" i="7" s="1"/>
  <c r="J25" i="7"/>
  <c r="J24" i="7" s="1"/>
  <c r="G25" i="7"/>
  <c r="G24" i="7" s="1"/>
  <c r="F25" i="7"/>
  <c r="F23" i="7" s="1"/>
  <c r="E25" i="7"/>
  <c r="E24" i="7" s="1"/>
  <c r="J161" i="7" l="1"/>
  <c r="G161" i="7"/>
  <c r="F161" i="7"/>
  <c r="E161" i="7"/>
  <c r="G31" i="7"/>
  <c r="E31" i="7"/>
  <c r="F32" i="7"/>
  <c r="J32" i="7"/>
  <c r="G23" i="7"/>
  <c r="J23" i="7"/>
  <c r="F24" i="7"/>
  <c r="E23" i="7"/>
  <c r="E62" i="11" l="1"/>
  <c r="D62" i="11"/>
  <c r="D47" i="11"/>
  <c r="J145" i="7"/>
  <c r="G145" i="7"/>
  <c r="F145" i="7"/>
  <c r="E145" i="7"/>
  <c r="F96" i="7"/>
  <c r="G96" i="7"/>
  <c r="J96" i="7"/>
  <c r="E96" i="7"/>
  <c r="F46" i="7"/>
  <c r="F45" i="7" s="1"/>
  <c r="G46" i="7"/>
  <c r="G45" i="7" s="1"/>
  <c r="J46" i="7"/>
  <c r="J45" i="7" s="1"/>
  <c r="E46" i="7"/>
  <c r="E45" i="7" s="1"/>
  <c r="D10" i="11"/>
  <c r="C11" i="5" l="1"/>
  <c r="C10" i="5" s="1"/>
  <c r="E10" i="11"/>
  <c r="E30" i="9"/>
  <c r="E11" i="9"/>
  <c r="E10" i="9" s="1"/>
  <c r="G21" i="8"/>
  <c r="F158" i="7"/>
  <c r="F157" i="7" s="1"/>
  <c r="F154" i="7"/>
  <c r="F153" i="7" s="1"/>
  <c r="F151" i="7"/>
  <c r="F150" i="7" s="1"/>
  <c r="F143" i="7"/>
  <c r="F142" i="7" s="1"/>
  <c r="F139" i="7"/>
  <c r="F137" i="7" s="1"/>
  <c r="F134" i="7"/>
  <c r="F132" i="7" s="1"/>
  <c r="F129" i="7"/>
  <c r="F127" i="7" s="1"/>
  <c r="F94" i="7"/>
  <c r="F92" i="7"/>
  <c r="F89" i="7"/>
  <c r="F84" i="7"/>
  <c r="F83" i="7" s="1"/>
  <c r="F81" i="7"/>
  <c r="F77" i="7"/>
  <c r="F74" i="7"/>
  <c r="F73" i="7" s="1"/>
  <c r="F70" i="7"/>
  <c r="F67" i="7"/>
  <c r="F66" i="7" s="1"/>
  <c r="F63" i="7"/>
  <c r="F62" i="7" s="1"/>
  <c r="F58" i="7"/>
  <c r="E26" i="9" s="1"/>
  <c r="F55" i="7"/>
  <c r="E25" i="9" s="1"/>
  <c r="F50" i="7"/>
  <c r="F49" i="7" s="1"/>
  <c r="F43" i="7"/>
  <c r="F42" i="7" s="1"/>
  <c r="F40" i="7"/>
  <c r="F39" i="7" s="1"/>
  <c r="F37" i="7"/>
  <c r="F36" i="7" s="1"/>
  <c r="F21" i="7"/>
  <c r="F19" i="7" s="1"/>
  <c r="F17" i="7"/>
  <c r="F15" i="7" s="1"/>
  <c r="F13" i="7"/>
  <c r="F11" i="7" s="1"/>
  <c r="F9" i="7"/>
  <c r="F7" i="7" s="1"/>
  <c r="G9" i="8" l="1"/>
  <c r="G8" i="8" s="1"/>
  <c r="F156" i="7"/>
  <c r="F88" i="7"/>
  <c r="F65" i="7" s="1"/>
  <c r="F141" i="7"/>
  <c r="F126" i="7" s="1"/>
  <c r="F138" i="7"/>
  <c r="F12" i="7"/>
  <c r="F133" i="7"/>
  <c r="F128" i="7"/>
  <c r="F54" i="7"/>
  <c r="F53" i="7" s="1"/>
  <c r="F20" i="7"/>
  <c r="F16" i="7"/>
  <c r="F8" i="7"/>
  <c r="E25" i="11" s="1"/>
  <c r="D24" i="11"/>
  <c r="F30" i="9"/>
  <c r="H13" i="8" s="1"/>
  <c r="I30" i="9"/>
  <c r="K13" i="8" s="1"/>
  <c r="D30" i="9"/>
  <c r="F13" i="8" s="1"/>
  <c r="F11" i="9"/>
  <c r="I11" i="9"/>
  <c r="D11" i="9"/>
  <c r="J70" i="7"/>
  <c r="G70" i="7"/>
  <c r="D10" i="9" l="1"/>
  <c r="F9" i="8"/>
  <c r="E24" i="11"/>
  <c r="I10" i="9"/>
  <c r="K9" i="8"/>
  <c r="F10" i="9"/>
  <c r="H9" i="8"/>
  <c r="E24" i="9"/>
  <c r="F35" i="7"/>
  <c r="F6" i="7" s="1"/>
  <c r="F10" i="11"/>
  <c r="I10" i="11"/>
  <c r="D24" i="9"/>
  <c r="D23" i="9" l="1"/>
  <c r="F12" i="8"/>
  <c r="F4" i="7"/>
  <c r="G11" i="8"/>
  <c r="G14" i="8" s="1"/>
  <c r="G22" i="8" s="1"/>
  <c r="G28" i="8" s="1"/>
  <c r="G29" i="8" s="1"/>
  <c r="E23" i="9"/>
  <c r="B11" i="5" l="1"/>
  <c r="B10" i="5" s="1"/>
  <c r="G143" i="7"/>
  <c r="G142" i="7" s="1"/>
  <c r="J143" i="7"/>
  <c r="J142" i="7" s="1"/>
  <c r="E143" i="7"/>
  <c r="E142" i="7" s="1"/>
  <c r="G129" i="7"/>
  <c r="J129" i="7"/>
  <c r="E129" i="7"/>
  <c r="E128" i="7" s="1"/>
  <c r="G84" i="7"/>
  <c r="J84" i="7"/>
  <c r="E84" i="7"/>
  <c r="E83" i="7" s="1"/>
  <c r="G81" i="7"/>
  <c r="F34" i="11" s="1"/>
  <c r="J81" i="7"/>
  <c r="I34" i="11" s="1"/>
  <c r="E81" i="7"/>
  <c r="E70" i="7"/>
  <c r="E158" i="7"/>
  <c r="E156" i="7" s="1"/>
  <c r="E154" i="7"/>
  <c r="E153" i="7" s="1"/>
  <c r="E151" i="7"/>
  <c r="E150" i="7" s="1"/>
  <c r="E139" i="7"/>
  <c r="E138" i="7" s="1"/>
  <c r="E134" i="7"/>
  <c r="E133" i="7" s="1"/>
  <c r="E94" i="7"/>
  <c r="E92" i="7"/>
  <c r="E89" i="7"/>
  <c r="E88" i="7" s="1"/>
  <c r="E77" i="7"/>
  <c r="E74" i="7"/>
  <c r="E73" i="7" s="1"/>
  <c r="E67" i="7"/>
  <c r="E66" i="7" s="1"/>
  <c r="E63" i="7"/>
  <c r="E62" i="7" s="1"/>
  <c r="E58" i="7"/>
  <c r="E55" i="7"/>
  <c r="E50" i="7"/>
  <c r="E49" i="7" s="1"/>
  <c r="E43" i="7"/>
  <c r="E42" i="7" s="1"/>
  <c r="E40" i="7"/>
  <c r="E39" i="7" s="1"/>
  <c r="E37" i="7"/>
  <c r="E36" i="7" s="1"/>
  <c r="E21" i="7"/>
  <c r="E19" i="7" s="1"/>
  <c r="E17" i="7"/>
  <c r="E16" i="7" s="1"/>
  <c r="E13" i="7"/>
  <c r="E11" i="7" s="1"/>
  <c r="E9" i="7"/>
  <c r="E8" i="7" s="1"/>
  <c r="E65" i="7" l="1"/>
  <c r="E157" i="7"/>
  <c r="E20" i="7"/>
  <c r="E141" i="7"/>
  <c r="E54" i="7"/>
  <c r="E53" i="7" s="1"/>
  <c r="E137" i="7"/>
  <c r="E127" i="7"/>
  <c r="E126" i="7" s="1"/>
  <c r="E12" i="7"/>
  <c r="E132" i="7"/>
  <c r="E7" i="7"/>
  <c r="E15" i="7"/>
  <c r="E35" i="7" l="1"/>
  <c r="F8" i="8"/>
  <c r="H8" i="8"/>
  <c r="K8" i="8"/>
  <c r="F11" i="8"/>
  <c r="F21" i="8"/>
  <c r="H21" i="8"/>
  <c r="K21" i="8"/>
  <c r="F37" i="8"/>
  <c r="G37" i="8" l="1"/>
  <c r="H37" i="8" s="1"/>
  <c r="J37" i="8" s="1"/>
  <c r="E6" i="7"/>
  <c r="E4" i="7" s="1"/>
  <c r="F14" i="8"/>
  <c r="F22" i="8" l="1"/>
  <c r="F29" i="8" s="1"/>
  <c r="K37" i="8"/>
  <c r="J158" i="7"/>
  <c r="J157" i="7" s="1"/>
  <c r="G158" i="7"/>
  <c r="G157" i="7" s="1"/>
  <c r="G154" i="7"/>
  <c r="G153" i="7" s="1"/>
  <c r="J154" i="7"/>
  <c r="J153" i="7" s="1"/>
  <c r="G151" i="7"/>
  <c r="G150" i="7" s="1"/>
  <c r="J151" i="7"/>
  <c r="J150" i="7" s="1"/>
  <c r="G139" i="7"/>
  <c r="G138" i="7" s="1"/>
  <c r="J139" i="7"/>
  <c r="J137" i="7" s="1"/>
  <c r="G128" i="7"/>
  <c r="J127" i="7"/>
  <c r="G89" i="7"/>
  <c r="G88" i="7" s="1"/>
  <c r="F36" i="11" s="1"/>
  <c r="J89" i="7"/>
  <c r="J88" i="7" s="1"/>
  <c r="I36" i="11" s="1"/>
  <c r="G83" i="7"/>
  <c r="J83" i="7"/>
  <c r="G74" i="7"/>
  <c r="G73" i="7" s="1"/>
  <c r="J74" i="7"/>
  <c r="J73" i="7" s="1"/>
  <c r="G67" i="7"/>
  <c r="G66" i="7" s="1"/>
  <c r="F26" i="11" s="1"/>
  <c r="J67" i="7"/>
  <c r="J66" i="7" s="1"/>
  <c r="G94" i="7"/>
  <c r="F38" i="11" s="1"/>
  <c r="J94" i="7"/>
  <c r="I38" i="11" s="1"/>
  <c r="G92" i="7"/>
  <c r="J92" i="7"/>
  <c r="G77" i="7"/>
  <c r="F29" i="11" s="1"/>
  <c r="J77" i="7"/>
  <c r="I29" i="11" s="1"/>
  <c r="G63" i="7"/>
  <c r="G62" i="7" s="1"/>
  <c r="J63" i="7"/>
  <c r="J62" i="7" s="1"/>
  <c r="G58" i="7"/>
  <c r="F26" i="9" s="1"/>
  <c r="J58" i="7"/>
  <c r="I26" i="9" s="1"/>
  <c r="G55" i="7"/>
  <c r="F25" i="9" s="1"/>
  <c r="J55" i="7"/>
  <c r="I25" i="9" s="1"/>
  <c r="G50" i="7"/>
  <c r="G49" i="7" s="1"/>
  <c r="J50" i="7"/>
  <c r="J49" i="7" s="1"/>
  <c r="G43" i="7"/>
  <c r="G42" i="7" s="1"/>
  <c r="J43" i="7"/>
  <c r="J42" i="7" s="1"/>
  <c r="G40" i="7"/>
  <c r="G39" i="7" s="1"/>
  <c r="F27" i="11" s="1"/>
  <c r="J40" i="7"/>
  <c r="J39" i="7" s="1"/>
  <c r="I27" i="11" s="1"/>
  <c r="G37" i="7"/>
  <c r="G36" i="7" s="1"/>
  <c r="F33" i="11" s="1"/>
  <c r="J37" i="7"/>
  <c r="J36" i="7" s="1"/>
  <c r="G21" i="7"/>
  <c r="G20" i="7" s="1"/>
  <c r="F30" i="11" s="1"/>
  <c r="J21" i="7"/>
  <c r="J20" i="7" s="1"/>
  <c r="G17" i="7"/>
  <c r="G16" i="7" s="1"/>
  <c r="J17" i="7"/>
  <c r="J16" i="7" s="1"/>
  <c r="G13" i="7"/>
  <c r="G12" i="7" s="1"/>
  <c r="J13" i="7"/>
  <c r="J12" i="7" s="1"/>
  <c r="G9" i="7"/>
  <c r="G8" i="7" s="1"/>
  <c r="J9" i="7"/>
  <c r="J8" i="7" s="1"/>
  <c r="F28" i="11" l="1"/>
  <c r="F37" i="11"/>
  <c r="G141" i="7"/>
  <c r="F24" i="9"/>
  <c r="F23" i="9" s="1"/>
  <c r="I24" i="9"/>
  <c r="K12" i="8" s="1"/>
  <c r="K11" i="8" s="1"/>
  <c r="J141" i="7"/>
  <c r="J65" i="7"/>
  <c r="G65" i="7"/>
  <c r="G11" i="7"/>
  <c r="J7" i="7"/>
  <c r="G54" i="7"/>
  <c r="G53" i="7" s="1"/>
  <c r="F35" i="11" s="1"/>
  <c r="G7" i="7"/>
  <c r="J134" i="7"/>
  <c r="J133" i="7" s="1"/>
  <c r="G134" i="7"/>
  <c r="G133" i="7" s="1"/>
  <c r="F25" i="11" s="1"/>
  <c r="J156" i="7"/>
  <c r="G156" i="7"/>
  <c r="G137" i="7"/>
  <c r="J138" i="7"/>
  <c r="G127" i="7"/>
  <c r="J128" i="7"/>
  <c r="J54" i="7"/>
  <c r="J53" i="7" s="1"/>
  <c r="J19" i="7"/>
  <c r="G19" i="7"/>
  <c r="J15" i="7"/>
  <c r="G15" i="7"/>
  <c r="J11" i="7"/>
  <c r="F24" i="11" l="1"/>
  <c r="G35" i="7"/>
  <c r="G6" i="7" s="1"/>
  <c r="K14" i="8"/>
  <c r="K22" i="8" s="1"/>
  <c r="G10" i="5"/>
  <c r="G12" i="5" s="1"/>
  <c r="G11" i="5" s="1"/>
  <c r="I24" i="11"/>
  <c r="H12" i="8"/>
  <c r="H11" i="8" s="1"/>
  <c r="I23" i="9"/>
  <c r="J35" i="7"/>
  <c r="J6" i="7" s="1"/>
  <c r="J132" i="7"/>
  <c r="J126" i="7" s="1"/>
  <c r="G132" i="7"/>
  <c r="G126" i="7" s="1"/>
  <c r="K29" i="8" l="1"/>
  <c r="H14" i="8"/>
  <c r="H22" i="8" s="1"/>
  <c r="H29" i="8" s="1"/>
  <c r="D10" i="5"/>
  <c r="D12" i="5" s="1"/>
  <c r="D11" i="5" s="1"/>
  <c r="J4" i="7"/>
  <c r="G4" i="7"/>
</calcChain>
</file>

<file path=xl/sharedStrings.xml><?xml version="1.0" encoding="utf-8"?>
<sst xmlns="http://schemas.openxmlformats.org/spreadsheetml/2006/main" count="434" uniqueCount="195">
  <si>
    <t>PRIHODI UKUPNO</t>
  </si>
  <si>
    <t>RASHODI UKUPNO</t>
  </si>
  <si>
    <t>RAZLIKA - VIŠAK / MANJAK</t>
  </si>
  <si>
    <t>VIŠAK / MANJAK IZ PRETHODNE(IH) GODINE KOJI ĆE SE RASPOREDITI / POKRITI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</si>
  <si>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</si>
  <si>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</si>
  <si>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</si>
  <si>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</si>
  <si>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</si>
  <si>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</si>
  <si>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Prihodi poslovanja</t>
  </si>
  <si>
    <t>Opći prihodi i primici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</si>
  <si>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</si>
  <si>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</si>
  <si>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</si>
  <si>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</si>
  <si>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</si>
  <si>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</si>
  <si>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</si>
  <si>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II. POSEBNI DIO</t>
  </si>
  <si>
    <t>I. OPĆI DIO</t>
  </si>
  <si>
    <t>Šifra</t>
  </si>
  <si>
    <t xml:space="preserve">Naziv </t>
  </si>
  <si>
    <t>Materijalni rashodi</t>
  </si>
  <si>
    <t>A) SAŽETAK RAČUNA PRIHODA I RASHODA</t>
  </si>
  <si>
    <t>B) SAŽETAK RAČUNA FINANCIRANJA</t>
  </si>
  <si>
    <t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</si>
  <si>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</si>
  <si>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</si>
  <si>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</si>
  <si>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Prihodi od imovine</t>
  </si>
  <si>
    <t>Prihodi od upravnih i administrativnih pristojbi, pristojbi po posebnim propisima i naknada</t>
  </si>
  <si>
    <t>Kazne, upravne mjere i ostali prihodi</t>
  </si>
  <si>
    <t>Financijski rashodi</t>
  </si>
  <si>
    <t>Naknade građanima i kućanstvima na temelju osiguranja i druge naknade</t>
  </si>
  <si>
    <t>Rashodi za dodatna ulaganja na nefinancijskoj imovini</t>
  </si>
  <si>
    <t xml:space="preserve">Prihodi od prodaje proizvoda i robe te pruženih usluga, prihodi od donacija </t>
  </si>
  <si>
    <t>09 Obrazovanje</t>
  </si>
  <si>
    <t>0912 Osnovno obrazovanje</t>
  </si>
  <si>
    <t>096 Dodatne usluge u obrazovanju</t>
  </si>
  <si>
    <t>Pomoći</t>
  </si>
  <si>
    <t>Vlastiti prihodi</t>
  </si>
  <si>
    <t>Donacije</t>
  </si>
  <si>
    <t>EUR</t>
  </si>
  <si>
    <t>HZZ PRIPRAVNIK</t>
  </si>
  <si>
    <t>EU</t>
  </si>
  <si>
    <t>Aktivnost 1012-01</t>
  </si>
  <si>
    <t xml:space="preserve">Aktivnost 1012-02 </t>
  </si>
  <si>
    <t>Financijski rashodi škola</t>
  </si>
  <si>
    <t xml:space="preserve">Kapitalni projekt 1012-03 </t>
  </si>
  <si>
    <t>Kapitalni projekt 1012-04</t>
  </si>
  <si>
    <t>Aktivnost 1012-09</t>
  </si>
  <si>
    <t>Vlastiti i namjenski prihodi škola - rashodi za zaposlene</t>
  </si>
  <si>
    <t>Aktivnost 1012-10</t>
  </si>
  <si>
    <t>Vlastiti i namjenski prihodi škola - materijalni rashodi</t>
  </si>
  <si>
    <t>Aktivnost 1012-11</t>
  </si>
  <si>
    <t>Vlastiti i namjenski prihodi škola - financijski rashodi</t>
  </si>
  <si>
    <t>Aktivnost 1012-12</t>
  </si>
  <si>
    <t>Vlastiti i namjenski prihodi škola - opremanje škola</t>
  </si>
  <si>
    <t>PROGRAM 1013</t>
  </si>
  <si>
    <t>Izvanstandardni progami u školama</t>
  </si>
  <si>
    <t>Aktivnost 1013-04</t>
  </si>
  <si>
    <t>Aktivnost 1013-06</t>
  </si>
  <si>
    <t>Produženi boravak</t>
  </si>
  <si>
    <t>Aktivnost 1013-07</t>
  </si>
  <si>
    <t>Aktivnost 1013-13</t>
  </si>
  <si>
    <t>Aktivnost 1013-18</t>
  </si>
  <si>
    <t>Centar DaR</t>
  </si>
  <si>
    <t>Izvor financiranja 57</t>
  </si>
  <si>
    <t>Izvor financiranja 11</t>
  </si>
  <si>
    <t>Izvor financiranja 31</t>
  </si>
  <si>
    <t xml:space="preserve">Vlastiti prihodi </t>
  </si>
  <si>
    <t>Vlastiti izvori</t>
  </si>
  <si>
    <t>Višak prihoda poslovanja</t>
  </si>
  <si>
    <t>Vlastiti prihodi - višak</t>
  </si>
  <si>
    <t>VIŠAK KORIŠTEN ZA POKRIĆE RASHODA</t>
  </si>
  <si>
    <t>Prihodi za posebne namjene - višak</t>
  </si>
  <si>
    <t>Pomoći - višak</t>
  </si>
  <si>
    <t>HZZ PRIPRAVNIK - višak</t>
  </si>
  <si>
    <t>Donacije - višak</t>
  </si>
  <si>
    <t>Pomoći MZO rashodi za zaposlene</t>
  </si>
  <si>
    <t>Izvor financiranja 92530</t>
  </si>
  <si>
    <t>Financiranje nabave drugih obrazovnih materijala - radne bilježnice</t>
  </si>
  <si>
    <t>Materijalni rashodi - prijevoz</t>
  </si>
  <si>
    <t>31-COP</t>
  </si>
  <si>
    <t>31-MENTORSTVA</t>
  </si>
  <si>
    <t>32-PRIJEVOZ DJELATNIKA COP</t>
  </si>
  <si>
    <t>32-NAKNADA INVALIDI</t>
  </si>
  <si>
    <t>32-ISLAMSKI VJERONAUK</t>
  </si>
  <si>
    <t>Prihodi za posebne namjene - školska kuhinja</t>
  </si>
  <si>
    <t>Izvor financiranja 9231</t>
  </si>
  <si>
    <t>Izvor financiranja 9241</t>
  </si>
  <si>
    <t>Izvor financiranja 9257</t>
  </si>
  <si>
    <t>Rashodi za zaposlene (pripravnica razlika za osnovicu)</t>
  </si>
  <si>
    <t>Rashodi za zaposlene (dar u naravi, pripravnica razlika za osnovicu)</t>
  </si>
  <si>
    <t>Rashodi za zaposlene voditelje ŠSD</t>
  </si>
  <si>
    <t>Materijalni rashodi (najam dvorane, uz maraška, ost prih)</t>
  </si>
  <si>
    <t>Naknade građanima i kućanstvima na temelju osiguranja i druge naknade (radne bilježnice)</t>
  </si>
  <si>
    <t xml:space="preserve">Prihodi za posebne namjene </t>
  </si>
  <si>
    <t xml:space="preserve">PROGRAM 1012 </t>
  </si>
  <si>
    <t>Osnovnoškolsko obrazovanje</t>
  </si>
  <si>
    <t>PRIJENOS VIŠKA / MANJKA U SLJEDEĆE RAZDOBLJE</t>
  </si>
  <si>
    <t>VIŠAK / MANJAK TEKUĆE GODINE</t>
  </si>
  <si>
    <t>PRIJENOS VIŠKA / MANJKA IZ PRETHODNE(IH) GODINE</t>
  </si>
  <si>
    <t>D) VIŠEGODIŠNJI PLAN URAVNOTEŽENJA</t>
  </si>
  <si>
    <t>VIŠAK / MANJAK + NETO FINANCIRANJE + PRIJENOS VIŠKA / MANJKA IZ PRETHODNE(IH) GODINE - PRIJENOS VIŠKA / MANJKA U SLJEDEĆE RAZDOBLJE</t>
  </si>
  <si>
    <t xml:space="preserve">C) PRENESENI VIŠAK ILI PRENESENI MANJAK </t>
  </si>
  <si>
    <t>5 IZDACI ZA FINANCIJSKU IMOVINU I OTPLATE ZAJMOVA</t>
  </si>
  <si>
    <t>8 PRIMICI OD FINANCIJSKE IMOVINE I ZADUŽIVANJA</t>
  </si>
  <si>
    <t>4 RASHODI ZA NABAVU NEFINANCIJSKE IMOVINE</t>
  </si>
  <si>
    <t>3 RASHODI  POSLOVANJA</t>
  </si>
  <si>
    <t>7 PRIHODI OD PRODAJE NEFINANCIJSKE IMOVINE</t>
  </si>
  <si>
    <t>6 PRIHODI POSLOVANJA</t>
  </si>
  <si>
    <t>PRIHODI POSLOVANJA PREMA EKONOMSKOJ KLASIFIKACIJI</t>
  </si>
  <si>
    <t>RASHODI POSLOVANJA PREMA EKONOMSKOJ KLASIFIKACIJI</t>
  </si>
  <si>
    <t>Brojčana oznaka i naziv</t>
  </si>
  <si>
    <t>Izvor financiranja 925401</t>
  </si>
  <si>
    <t>Ostale tekuće donacije u naravi</t>
  </si>
  <si>
    <t>Projekti - višak</t>
  </si>
  <si>
    <t>Manjak prihoda poslovanja</t>
  </si>
  <si>
    <t>Materijalni rashodi - prijevoz + sl. putovanja</t>
  </si>
  <si>
    <t>A. RAČUN PRIHODA I RASHODA</t>
  </si>
  <si>
    <t>PRIHODI POSLOVANJA  PREMA IZVORIMA FINANCIRANJA</t>
  </si>
  <si>
    <t>11 Opći prihodi i primici</t>
  </si>
  <si>
    <t>31 Vlastiti prihodi</t>
  </si>
  <si>
    <t>6103 Donacije</t>
  </si>
  <si>
    <t>RASHODI POSLOVANJA  PREMA IZVORIMA FINANCIRANJA</t>
  </si>
  <si>
    <t>9231 Vlastiti prihodi - višak</t>
  </si>
  <si>
    <t>9241 Prihodi za posebne namjene - višak</t>
  </si>
  <si>
    <t>92530 HZZ PRIPRAVNIK - višak</t>
  </si>
  <si>
    <t>925401 Projekti - višak</t>
  </si>
  <si>
    <t>926103 Donacije - višak</t>
  </si>
  <si>
    <t xml:space="preserve">                                   MANJAK POKRIVEN TEKUĆIM PRIHODIMA</t>
  </si>
  <si>
    <t>Projekcija 
za 2027.</t>
  </si>
  <si>
    <t>53 HZZ</t>
  </si>
  <si>
    <t>9257 Pomoći - višak</t>
  </si>
  <si>
    <t>Izvor financiranja 53</t>
  </si>
  <si>
    <t>57 Pomoći Shema</t>
  </si>
  <si>
    <t xml:space="preserve">9231 Vlastiti prihodi </t>
  </si>
  <si>
    <t>9241 Prihodi za posebne namjene</t>
  </si>
  <si>
    <t>92530 HZZ PRIPRAVNIK</t>
  </si>
  <si>
    <t>925401 PROJEKTI</t>
  </si>
  <si>
    <t>926103 Donacije</t>
  </si>
  <si>
    <t xml:space="preserve"> Materijalni rashodi škola - STANDARD</t>
  </si>
  <si>
    <t>Financijski rashodi škola - STANDARD</t>
  </si>
  <si>
    <t>Opremanje škola- STANDARD</t>
  </si>
  <si>
    <t>Tekuće pomoći</t>
  </si>
  <si>
    <t>Rashodi za dodatna ulaganja na školama- STANDARD</t>
  </si>
  <si>
    <t>Aktivnost 1012-05</t>
  </si>
  <si>
    <t>Rashodi za zaposlene i materijalni rashodi škola - IZVANSTANDARD</t>
  </si>
  <si>
    <t>Kapitalni projekt 1012-08</t>
  </si>
  <si>
    <t>Rashodi za dodatna ulaganja na školama- IZVANSTANDARD</t>
  </si>
  <si>
    <t>Fin iz sredstava EU</t>
  </si>
  <si>
    <t>Prehrana učenika u osnovnim školama Šk. shema</t>
  </si>
  <si>
    <t>Aktivnost 1013-23</t>
  </si>
  <si>
    <t>Projekt SHORE</t>
  </si>
  <si>
    <t>Materijalni rashodi - prijevoz i ostalo</t>
  </si>
  <si>
    <t>Kapitalni projekt 1012-07</t>
  </si>
  <si>
    <t>Opremanje škola- IZVANSTANDARD</t>
  </si>
  <si>
    <t>Izvršenje 2024.*</t>
  </si>
  <si>
    <t>Izvršenje 2024.</t>
  </si>
  <si>
    <t>Plan za 2026.</t>
  </si>
  <si>
    <t>Projekcija 
za 2028.</t>
  </si>
  <si>
    <t>Plan
za 2026.</t>
  </si>
  <si>
    <t>Plan 
za 2026.</t>
  </si>
  <si>
    <t>Projekcija plana
za 2027.</t>
  </si>
  <si>
    <t>Projekcija plana
za 2028.</t>
  </si>
  <si>
    <t>Tekući plan 2025.</t>
  </si>
  <si>
    <t>Izvanškolske aktivnosti, UZ Maraška</t>
  </si>
  <si>
    <t>Pomoćnici u nastavi - Škola puna mogućnosti 7 i 8</t>
  </si>
  <si>
    <t>41 Prihodi za posebne namjene/ 43 Ostali prihodi za posebne namjene</t>
  </si>
  <si>
    <t>51 Tekuće pomoći/ 5012 Pom iz drž pror kroz nac sufin Eu projekata</t>
  </si>
  <si>
    <t>57 Pomoći/ 5011 Pomoći iz drž pror kroz opće prihode i primitke</t>
  </si>
  <si>
    <t>6103 Donacije/ 61 Donacije</t>
  </si>
  <si>
    <t>5402 EU/ 56 Fondovi EU</t>
  </si>
  <si>
    <t>51 Pomoći /5012</t>
  </si>
  <si>
    <t>5402 EU Projekti/56</t>
  </si>
  <si>
    <t>57 Pomoći/5011</t>
  </si>
  <si>
    <t>5402 EU Shema/56</t>
  </si>
  <si>
    <t>Izvor financiranja 51/5012</t>
  </si>
  <si>
    <t>Izvor financiranja 54/56</t>
  </si>
  <si>
    <t>Izvor financiranja 41/43</t>
  </si>
  <si>
    <t>Izvor financiranja 57/5011</t>
  </si>
  <si>
    <t>Izvor financiranja 61</t>
  </si>
  <si>
    <t>Izvor financiranja 9261</t>
  </si>
  <si>
    <t>Izvor financiranja 5401/56</t>
  </si>
  <si>
    <t>Izvor financiranja 5402/56</t>
  </si>
  <si>
    <t>Izvor financiranja 51/5011</t>
  </si>
  <si>
    <t>Reb br.1 plana za 2026.</t>
  </si>
  <si>
    <t>PRIJEDLOG REBALANSA FINANCIJSKOG PLANA OSNOVNE ŠKOLE BARTULA KAŠIĆA
ZA 2026. I PROJEKCIJA ZA 2027. I 2028. GODINU</t>
  </si>
  <si>
    <t>Reb br.1 Plana
za 2026.</t>
  </si>
  <si>
    <t>Reb br.1 Plana 
za 2026.</t>
  </si>
  <si>
    <t>Izvor financiranja 57/50112</t>
  </si>
  <si>
    <t>Izvor financiranja 9257/9250</t>
  </si>
  <si>
    <t>9257/9250 Pomoći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</si>
</sst>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3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10"/>
      <color theme="8" tint="-0.249977111117893"/>
      <name val="Arial"/>
      <family val="2"/>
      <charset val="238"/>
    </font>
    <font>
      <sz val="10"/>
      <color theme="8" tint="-0.249977111117893"/>
      <name val="Arial"/>
      <family val="2"/>
      <charset val="238"/>
    </font>
    <font>
      <sz val="10"/>
      <color theme="8" tint="-0.249977111117893"/>
      <name val="Calibri"/>
      <family val="2"/>
      <charset val="238"/>
      <scheme val="minor"/>
    </font>
    <font>
      <sz val="12"/>
      <color theme="8" tint="-0.249977111117893"/>
      <name val="Arial"/>
      <family val="2"/>
      <charset val="238"/>
    </font>
    <font>
      <sz val="11"/>
      <color theme="8" tint="-0.249977111117893"/>
      <name val="Calibri"/>
      <family val="2"/>
      <charset val="238"/>
      <scheme val="minor"/>
    </font>
    <font>
      <i/>
      <sz val="10"/>
      <color theme="8" tint="-0.249977111117893"/>
      <name val="Calibri"/>
      <family val="2"/>
      <charset val="238"/>
      <scheme val="minor"/>
    </font>
    <font>
      <b/>
      <i/>
      <sz val="10"/>
      <color indexed="8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i/>
      <sz val="10"/>
      <color theme="4" tint="-0.499984740745262"/>
      <name val="Arial"/>
      <family val="2"/>
      <charset val="238"/>
    </font>
    <font>
      <b/>
      <i/>
      <sz val="1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u/>
      <sz val="10"/>
      <name val="Arial"/>
      <family val="2"/>
      <charset val="238"/>
    </font>
    <font>
      <sz val="12"/>
      <color theme="4" tint="-0.249977111117893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0" fontId="10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0" fontId="16" fillId="0" borderId="5" xfId="0" applyFont="1" applyBorder="1" applyAlignment="1">
      <alignment horizontal="right" vertical="center"/>
    </xf>
    <xf numFmtId="0" fontId="10" fillId="3" borderId="1" xfId="0" applyFont="1" applyFill="1" applyBorder="1" applyAlignment="1">
      <alignment horizontal="left" vertical="center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10" fillId="5" borderId="3" xfId="0" applyNumberFormat="1" applyFont="1" applyFill="1" applyBorder="1" applyAlignment="1" applyProtection="1">
      <alignment horizontal="left" vertical="center" wrapText="1"/>
    </xf>
    <xf numFmtId="0" fontId="8" fillId="5" borderId="3" xfId="0" applyNumberFormat="1" applyFont="1" applyFill="1" applyBorder="1" applyAlignment="1" applyProtection="1">
      <alignment horizontal="left" vertical="center" wrapText="1"/>
    </xf>
    <xf numFmtId="0" fontId="8" fillId="5" borderId="3" xfId="0" quotePrefix="1" applyFont="1" applyFill="1" applyBorder="1" applyAlignment="1">
      <alignment horizontal="left" vertical="center"/>
    </xf>
    <xf numFmtId="0" fontId="8" fillId="5" borderId="3" xfId="0" quotePrefix="1" applyFont="1" applyFill="1" applyBorder="1" applyAlignment="1">
      <alignment horizontal="left" vertical="center" wrapText="1"/>
    </xf>
    <xf numFmtId="0" fontId="8" fillId="5" borderId="3" xfId="0" applyNumberFormat="1" applyFont="1" applyFill="1" applyBorder="1" applyAlignment="1" applyProtection="1">
      <alignment vertical="center" wrapText="1"/>
    </xf>
    <xf numFmtId="0" fontId="10" fillId="7" borderId="3" xfId="0" applyNumberFormat="1" applyFont="1" applyFill="1" applyBorder="1" applyAlignment="1" applyProtection="1">
      <alignment horizontal="left" vertical="center" wrapText="1"/>
    </xf>
    <xf numFmtId="3" fontId="3" fillId="7" borderId="3" xfId="0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 applyProtection="1">
      <alignment horizontal="right" vertical="center" wrapText="1"/>
    </xf>
    <xf numFmtId="0" fontId="8" fillId="0" borderId="3" xfId="0" applyNumberFormat="1" applyFont="1" applyFill="1" applyBorder="1" applyAlignment="1" applyProtection="1">
      <alignment vertical="center" wrapText="1"/>
    </xf>
    <xf numFmtId="0" fontId="8" fillId="2" borderId="0" xfId="0" quotePrefix="1" applyFont="1" applyFill="1" applyBorder="1" applyAlignment="1">
      <alignment horizontal="left" vertical="center"/>
    </xf>
    <xf numFmtId="0" fontId="9" fillId="2" borderId="0" xfId="0" quotePrefix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11" fillId="2" borderId="3" xfId="0" applyNumberFormat="1" applyFont="1" applyFill="1" applyBorder="1" applyAlignment="1">
      <alignment horizontal="right"/>
    </xf>
    <xf numFmtId="4" fontId="11" fillId="2" borderId="3" xfId="0" applyNumberFormat="1" applyFont="1" applyFill="1" applyBorder="1" applyAlignment="1" applyProtection="1">
      <alignment horizontal="right" wrapText="1"/>
    </xf>
    <xf numFmtId="4" fontId="3" fillId="5" borderId="3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horizontal="right"/>
    </xf>
    <xf numFmtId="4" fontId="6" fillId="7" borderId="3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0" fontId="6" fillId="6" borderId="4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6" fillId="9" borderId="4" xfId="0" applyNumberFormat="1" applyFont="1" applyFill="1" applyBorder="1" applyAlignment="1" applyProtection="1">
      <alignment horizontal="left" vertical="center" wrapText="1"/>
    </xf>
    <xf numFmtId="4" fontId="5" fillId="6" borderId="3" xfId="0" applyNumberFormat="1" applyFont="1" applyFill="1" applyBorder="1" applyAlignment="1">
      <alignment horizontal="right"/>
    </xf>
    <xf numFmtId="0" fontId="8" fillId="0" borderId="3" xfId="0" quotePrefix="1" applyFont="1" applyFill="1" applyBorder="1" applyAlignment="1">
      <alignment horizontal="left" vertical="center" wrapText="1"/>
    </xf>
    <xf numFmtId="4" fontId="5" fillId="9" borderId="3" xfId="0" applyNumberFormat="1" applyFont="1" applyFill="1" applyBorder="1" applyAlignment="1">
      <alignment horizontal="right"/>
    </xf>
    <xf numFmtId="0" fontId="18" fillId="2" borderId="4" xfId="0" applyNumberFormat="1" applyFont="1" applyFill="1" applyBorder="1" applyAlignment="1" applyProtection="1">
      <alignment horizontal="left" vertical="center" wrapText="1"/>
    </xf>
    <xf numFmtId="4" fontId="18" fillId="2" borderId="3" xfId="0" applyNumberFormat="1" applyFont="1" applyFill="1" applyBorder="1" applyAlignment="1">
      <alignment horizontal="right"/>
    </xf>
    <xf numFmtId="0" fontId="19" fillId="2" borderId="4" xfId="0" applyNumberFormat="1" applyFont="1" applyFill="1" applyBorder="1" applyAlignment="1" applyProtection="1">
      <alignment horizontal="left" vertical="center" wrapText="1"/>
    </xf>
    <xf numFmtId="4" fontId="19" fillId="2" borderId="3" xfId="0" applyNumberFormat="1" applyFont="1" applyFill="1" applyBorder="1" applyAlignment="1">
      <alignment horizontal="right"/>
    </xf>
    <xf numFmtId="0" fontId="21" fillId="0" borderId="0" xfId="0" applyFont="1"/>
    <xf numFmtId="4" fontId="22" fillId="2" borderId="3" xfId="0" applyNumberFormat="1" applyFont="1" applyFill="1" applyBorder="1" applyAlignment="1">
      <alignment horizontal="right"/>
    </xf>
    <xf numFmtId="0" fontId="23" fillId="0" borderId="0" xfId="0" applyFont="1"/>
    <xf numFmtId="0" fontId="24" fillId="0" borderId="0" xfId="0" applyFont="1"/>
    <xf numFmtId="0" fontId="20" fillId="2" borderId="4" xfId="0" applyNumberFormat="1" applyFont="1" applyFill="1" applyBorder="1" applyAlignment="1" applyProtection="1">
      <alignment horizontal="left" vertical="center" wrapText="1"/>
    </xf>
    <xf numFmtId="4" fontId="18" fillId="2" borderId="3" xfId="0" applyNumberFormat="1" applyFont="1" applyFill="1" applyBorder="1" applyAlignment="1" applyProtection="1">
      <alignment horizontal="right" wrapText="1"/>
    </xf>
    <xf numFmtId="0" fontId="6" fillId="9" borderId="4" xfId="0" applyNumberFormat="1" applyFont="1" applyFill="1" applyBorder="1" applyAlignment="1" applyProtection="1">
      <alignment horizontal="left" vertical="center" wrapText="1"/>
    </xf>
    <xf numFmtId="164" fontId="17" fillId="2" borderId="3" xfId="0" applyNumberFormat="1" applyFont="1" applyFill="1" applyBorder="1" applyAlignment="1">
      <alignment horizontal="right"/>
    </xf>
    <xf numFmtId="164" fontId="25" fillId="2" borderId="3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8" fillId="3" borderId="2" xfId="0" applyNumberFormat="1" applyFont="1" applyFill="1" applyBorder="1" applyAlignment="1" applyProtection="1">
      <alignment vertical="center"/>
    </xf>
    <xf numFmtId="0" fontId="10" fillId="0" borderId="2" xfId="0" quotePrefix="1" applyNumberFormat="1" applyFont="1" applyFill="1" applyBorder="1" applyAlignment="1" applyProtection="1">
      <alignment horizontal="left"/>
    </xf>
    <xf numFmtId="0" fontId="10" fillId="0" borderId="2" xfId="0" quotePrefix="1" applyFont="1" applyBorder="1" applyAlignment="1">
      <alignment horizontal="center" wrapText="1"/>
    </xf>
    <xf numFmtId="0" fontId="10" fillId="0" borderId="2" xfId="0" quotePrefix="1" applyFont="1" applyBorder="1" applyAlignment="1">
      <alignment horizontal="left" wrapText="1"/>
    </xf>
    <xf numFmtId="0" fontId="10" fillId="0" borderId="1" xfId="0" quotePrefix="1" applyFont="1" applyBorder="1" applyAlignment="1">
      <alignment horizontal="left" wrapText="1"/>
    </xf>
    <xf numFmtId="0" fontId="8" fillId="0" borderId="0" xfId="0" applyNumberFormat="1" applyFont="1" applyFill="1" applyBorder="1" applyAlignment="1" applyProtection="1"/>
    <xf numFmtId="0" fontId="26" fillId="0" borderId="0" xfId="0" applyNumberFormat="1" applyFont="1" applyFill="1" applyBorder="1" applyAlignment="1" applyProtection="1">
      <alignment horizontal="center" vertical="center" wrapText="1"/>
    </xf>
    <xf numFmtId="0" fontId="27" fillId="0" borderId="0" xfId="0" quotePrefix="1" applyNumberFormat="1" applyFont="1" applyFill="1" applyBorder="1" applyAlignment="1" applyProtection="1">
      <alignment horizontal="center" vertical="center" wrapText="1"/>
    </xf>
    <xf numFmtId="0" fontId="28" fillId="0" borderId="0" xfId="0" applyFont="1" applyAlignment="1">
      <alignment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10" fillId="2" borderId="3" xfId="0" applyFont="1" applyFill="1" applyBorder="1" applyAlignment="1">
      <alignment horizontal="left" vertical="center"/>
    </xf>
    <xf numFmtId="0" fontId="10" fillId="2" borderId="3" xfId="0" applyNumberFormat="1" applyFont="1" applyFill="1" applyBorder="1" applyAlignment="1" applyProtection="1">
      <alignment horizontal="left" vertical="center"/>
    </xf>
    <xf numFmtId="0" fontId="10" fillId="2" borderId="3" xfId="0" applyNumberFormat="1" applyFont="1" applyFill="1" applyBorder="1" applyAlignment="1" applyProtection="1">
      <alignment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19" fillId="2" borderId="4" xfId="0" applyNumberFormat="1" applyFont="1" applyFill="1" applyBorder="1" applyAlignment="1" applyProtection="1">
      <alignment horizontal="left" vertical="center" wrapText="1"/>
    </xf>
    <xf numFmtId="4" fontId="11" fillId="0" borderId="3" xfId="0" applyNumberFormat="1" applyFont="1" applyFill="1" applyBorder="1" applyAlignment="1">
      <alignment horizontal="right"/>
    </xf>
    <xf numFmtId="4" fontId="29" fillId="2" borderId="3" xfId="0" applyNumberFormat="1" applyFont="1" applyFill="1" applyBorder="1" applyAlignment="1">
      <alignment horizontal="right"/>
    </xf>
    <xf numFmtId="4" fontId="30" fillId="2" borderId="3" xfId="0" applyNumberFormat="1" applyFont="1" applyFill="1" applyBorder="1" applyAlignment="1">
      <alignment horizontal="right"/>
    </xf>
    <xf numFmtId="4" fontId="30" fillId="0" borderId="3" xfId="0" applyNumberFormat="1" applyFont="1" applyFill="1" applyBorder="1" applyAlignment="1">
      <alignment horizontal="right"/>
    </xf>
    <xf numFmtId="164" fontId="9" fillId="2" borderId="3" xfId="0" quotePrefix="1" applyNumberFormat="1" applyFont="1" applyFill="1" applyBorder="1" applyAlignment="1">
      <alignment horizontal="right" vertical="center" wrapText="1"/>
    </xf>
    <xf numFmtId="164" fontId="8" fillId="2" borderId="3" xfId="0" applyNumberFormat="1" applyFont="1" applyFill="1" applyBorder="1" applyAlignment="1" applyProtection="1">
      <alignment horizontal="right" vertical="center" wrapText="1"/>
    </xf>
    <xf numFmtId="4" fontId="6" fillId="0" borderId="3" xfId="0" applyNumberFormat="1" applyFont="1" applyFill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 applyProtection="1">
      <alignment horizontal="right" wrapText="1"/>
    </xf>
    <xf numFmtId="4" fontId="6" fillId="0" borderId="3" xfId="0" applyNumberFormat="1" applyFont="1" applyBorder="1" applyAlignment="1">
      <alignment horizontal="right"/>
    </xf>
    <xf numFmtId="4" fontId="10" fillId="4" borderId="1" xfId="0" quotePrefix="1" applyNumberFormat="1" applyFont="1" applyFill="1" applyBorder="1" applyAlignment="1">
      <alignment horizontal="right"/>
    </xf>
    <xf numFmtId="4" fontId="10" fillId="4" borderId="3" xfId="0" applyNumberFormat="1" applyFont="1" applyFill="1" applyBorder="1" applyAlignment="1" applyProtection="1">
      <alignment horizontal="right" wrapText="1"/>
    </xf>
    <xf numFmtId="4" fontId="10" fillId="3" borderId="1" xfId="0" quotePrefix="1" applyNumberFormat="1" applyFont="1" applyFill="1" applyBorder="1" applyAlignment="1">
      <alignment horizontal="right"/>
    </xf>
    <xf numFmtId="4" fontId="10" fillId="3" borderId="3" xfId="0" quotePrefix="1" applyNumberFormat="1" applyFont="1" applyFill="1" applyBorder="1" applyAlignment="1">
      <alignment horizontal="right"/>
    </xf>
    <xf numFmtId="4" fontId="6" fillId="3" borderId="1" xfId="0" quotePrefix="1" applyNumberFormat="1" applyFont="1" applyFill="1" applyBorder="1" applyAlignment="1">
      <alignment horizontal="right"/>
    </xf>
    <xf numFmtId="4" fontId="6" fillId="3" borderId="3" xfId="0" quotePrefix="1" applyNumberFormat="1" applyFont="1" applyFill="1" applyBorder="1" applyAlignment="1">
      <alignment horizontal="right"/>
    </xf>
    <xf numFmtId="4" fontId="3" fillId="2" borderId="0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 applyProtection="1">
      <alignment horizontal="center" vertical="center" wrapText="1"/>
    </xf>
    <xf numFmtId="0" fontId="32" fillId="0" borderId="0" xfId="0" applyFont="1"/>
    <xf numFmtId="0" fontId="31" fillId="0" borderId="3" xfId="0" applyNumberFormat="1" applyFont="1" applyFill="1" applyBorder="1" applyAlignment="1" applyProtection="1">
      <alignment horizontal="left" vertical="center" wrapText="1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4" fontId="17" fillId="0" borderId="3" xfId="0" applyNumberFormat="1" applyFont="1" applyFill="1" applyBorder="1" applyAlignment="1">
      <alignment horizontal="right"/>
    </xf>
    <xf numFmtId="0" fontId="33" fillId="0" borderId="3" xfId="0" applyNumberFormat="1" applyFont="1" applyFill="1" applyBorder="1" applyAlignment="1" applyProtection="1">
      <alignment horizontal="left" vertical="center" wrapText="1"/>
    </xf>
    <xf numFmtId="0" fontId="1" fillId="0" borderId="0" xfId="0" applyFont="1" applyFill="1"/>
    <xf numFmtId="0" fontId="1" fillId="0" borderId="0" xfId="0" applyFont="1"/>
    <xf numFmtId="4" fontId="6" fillId="8" borderId="3" xfId="0" applyNumberFormat="1" applyFont="1" applyFill="1" applyBorder="1" applyAlignment="1">
      <alignment horizontal="right"/>
    </xf>
    <xf numFmtId="0" fontId="12" fillId="0" borderId="0" xfId="0" applyFont="1" applyAlignment="1">
      <alignment wrapText="1"/>
    </xf>
    <xf numFmtId="0" fontId="15" fillId="0" borderId="0" xfId="0" applyNumberFormat="1" applyFont="1" applyFill="1" applyBorder="1" applyAlignment="1" applyProtection="1">
      <alignment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19" fillId="2" borderId="4" xfId="0" applyNumberFormat="1" applyFont="1" applyFill="1" applyBorder="1" applyAlignment="1" applyProtection="1">
      <alignment horizontal="left" vertical="center" wrapText="1"/>
    </xf>
    <xf numFmtId="0" fontId="6" fillId="6" borderId="4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19" fillId="2" borderId="4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0" fillId="0" borderId="0" xfId="0" applyFill="1"/>
    <xf numFmtId="4" fontId="34" fillId="2" borderId="3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 applyProtection="1">
      <alignment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19" fillId="2" borderId="4" xfId="0" applyNumberFormat="1" applyFont="1" applyFill="1" applyBorder="1" applyAlignment="1" applyProtection="1">
      <alignment horizontal="left" vertical="center" wrapText="1"/>
    </xf>
    <xf numFmtId="0" fontId="6" fillId="6" borderId="4" xfId="0" applyNumberFormat="1" applyFont="1" applyFill="1" applyBorder="1" applyAlignment="1" applyProtection="1">
      <alignment horizontal="left" vertical="center" wrapText="1"/>
    </xf>
    <xf numFmtId="4" fontId="0" fillId="0" borderId="0" xfId="0" applyNumberFormat="1"/>
    <xf numFmtId="0" fontId="12" fillId="0" borderId="0" xfId="0" applyFont="1" applyAlignment="1">
      <alignment wrapText="1"/>
    </xf>
    <xf numFmtId="0" fontId="12" fillId="0" borderId="0" xfId="0" applyFont="1" applyAlignment="1">
      <alignment wrapText="1"/>
    </xf>
    <xf numFmtId="4" fontId="3" fillId="0" borderId="0" xfId="0" applyNumberFormat="1" applyFont="1" applyFill="1" applyBorder="1" applyAlignment="1" applyProtection="1">
      <alignment vertical="center" wrapText="1"/>
    </xf>
    <xf numFmtId="0" fontId="14" fillId="0" borderId="0" xfId="0" applyNumberFormat="1" applyFont="1" applyFill="1" applyBorder="1" applyAlignment="1" applyProtection="1">
      <alignment wrapText="1"/>
    </xf>
    <xf numFmtId="0" fontId="15" fillId="0" borderId="0" xfId="0" applyNumberFormat="1" applyFont="1" applyFill="1" applyBorder="1" applyAlignment="1" applyProtection="1">
      <alignment wrapText="1"/>
    </xf>
    <xf numFmtId="0" fontId="10" fillId="3" borderId="1" xfId="0" quotePrefix="1" applyNumberFormat="1" applyFont="1" applyFill="1" applyBorder="1" applyAlignment="1" applyProtection="1">
      <alignment horizontal="left" vertical="center" wrapText="1"/>
    </xf>
    <xf numFmtId="0" fontId="8" fillId="3" borderId="2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0" fillId="4" borderId="1" xfId="0" applyNumberFormat="1" applyFont="1" applyFill="1" applyBorder="1" applyAlignment="1" applyProtection="1">
      <alignment horizontal="left" vertical="center" wrapText="1"/>
    </xf>
    <xf numFmtId="0" fontId="10" fillId="4" borderId="2" xfId="0" applyNumberFormat="1" applyFont="1" applyFill="1" applyBorder="1" applyAlignment="1" applyProtection="1">
      <alignment horizontal="left" vertical="center" wrapText="1"/>
    </xf>
    <xf numFmtId="0" fontId="10" fillId="4" borderId="4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left" vertical="center" wrapText="1"/>
    </xf>
    <xf numFmtId="0" fontId="10" fillId="3" borderId="4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0" borderId="1" xfId="0" quotePrefix="1" applyFont="1" applyBorder="1" applyAlignment="1">
      <alignment horizontal="left" vertical="center"/>
    </xf>
    <xf numFmtId="0" fontId="8" fillId="0" borderId="2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vertical="center" wrapText="1"/>
    </xf>
    <xf numFmtId="0" fontId="8" fillId="3" borderId="2" xfId="0" applyNumberFormat="1" applyFont="1" applyFill="1" applyBorder="1" applyAlignment="1" applyProtection="1">
      <alignment vertical="center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vertical="center" wrapText="1"/>
    </xf>
    <xf numFmtId="0" fontId="10" fillId="0" borderId="1" xfId="0" quotePrefix="1" applyFont="1" applyFill="1" applyBorder="1" applyAlignment="1">
      <alignment horizontal="left" vertical="center"/>
    </xf>
    <xf numFmtId="0" fontId="10" fillId="0" borderId="1" xfId="0" quotePrefix="1" applyNumberFormat="1" applyFont="1" applyFill="1" applyBorder="1" applyAlignment="1" applyProtection="1">
      <alignment horizontal="left" vertical="center" wrapText="1"/>
    </xf>
    <xf numFmtId="0" fontId="12" fillId="0" borderId="0" xfId="0" applyFont="1" applyAlignment="1">
      <alignment vertical="center" wrapText="1"/>
    </xf>
    <xf numFmtId="0" fontId="9" fillId="2" borderId="1" xfId="0" quotePrefix="1" applyFont="1" applyFill="1" applyBorder="1" applyAlignment="1">
      <alignment horizontal="left" vertical="center" wrapText="1"/>
    </xf>
    <xf numFmtId="0" fontId="9" fillId="2" borderId="2" xfId="0" quotePrefix="1" applyFont="1" applyFill="1" applyBorder="1" applyAlignment="1">
      <alignment horizontal="left" vertical="center" wrapText="1"/>
    </xf>
    <xf numFmtId="0" fontId="9" fillId="2" borderId="4" xfId="0" quotePrefix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10" fillId="7" borderId="1" xfId="0" applyNumberFormat="1" applyFont="1" applyFill="1" applyBorder="1" applyAlignment="1" applyProtection="1">
      <alignment horizontal="center" vertical="center" wrapText="1"/>
    </xf>
    <xf numFmtId="0" fontId="10" fillId="7" borderId="2" xfId="0" applyNumberFormat="1" applyFont="1" applyFill="1" applyBorder="1" applyAlignment="1" applyProtection="1">
      <alignment horizontal="center" vertical="center" wrapText="1"/>
    </xf>
    <xf numFmtId="0" fontId="10" fillId="7" borderId="4" xfId="0" applyNumberFormat="1" applyFont="1" applyFill="1" applyBorder="1" applyAlignment="1" applyProtection="1">
      <alignment horizontal="center" vertical="center" wrapText="1"/>
    </xf>
    <xf numFmtId="0" fontId="9" fillId="2" borderId="1" xfId="0" quotePrefix="1" applyFont="1" applyFill="1" applyBorder="1" applyAlignment="1">
      <alignment horizontal="left" vertical="center"/>
    </xf>
    <xf numFmtId="0" fontId="9" fillId="2" borderId="2" xfId="0" quotePrefix="1" applyFont="1" applyFill="1" applyBorder="1" applyAlignment="1">
      <alignment horizontal="left" vertical="center"/>
    </xf>
    <xf numFmtId="0" fontId="9" fillId="2" borderId="4" xfId="0" quotePrefix="1" applyFont="1" applyFill="1" applyBorder="1" applyAlignment="1">
      <alignment horizontal="left" vertical="center"/>
    </xf>
    <xf numFmtId="0" fontId="9" fillId="2" borderId="1" xfId="0" quotePrefix="1" applyFont="1" applyFill="1" applyBorder="1" applyAlignment="1">
      <alignment horizontal="left" vertical="center" shrinkToFit="1"/>
    </xf>
    <xf numFmtId="0" fontId="9" fillId="2" borderId="2" xfId="0" quotePrefix="1" applyFont="1" applyFill="1" applyBorder="1" applyAlignment="1">
      <alignment horizontal="left" vertical="center" shrinkToFit="1"/>
    </xf>
    <xf numFmtId="0" fontId="9" fillId="2" borderId="4" xfId="0" quotePrefix="1" applyFont="1" applyFill="1" applyBorder="1" applyAlignment="1">
      <alignment horizontal="left" vertical="center" shrinkToFit="1"/>
    </xf>
    <xf numFmtId="0" fontId="10" fillId="8" borderId="1" xfId="0" applyNumberFormat="1" applyFont="1" applyFill="1" applyBorder="1" applyAlignment="1" applyProtection="1">
      <alignment horizontal="center" vertical="center" wrapText="1"/>
    </xf>
    <xf numFmtId="0" fontId="10" fillId="8" borderId="2" xfId="0" applyNumberFormat="1" applyFont="1" applyFill="1" applyBorder="1" applyAlignment="1" applyProtection="1">
      <alignment horizontal="center" vertical="center" wrapText="1"/>
    </xf>
    <xf numFmtId="0" fontId="10" fillId="8" borderId="4" xfId="0" applyNumberFormat="1" applyFont="1" applyFill="1" applyBorder="1" applyAlignment="1" applyProtection="1">
      <alignment horizontal="center" vertical="center" wrapText="1"/>
    </xf>
    <xf numFmtId="0" fontId="6" fillId="6" borderId="1" xfId="0" applyNumberFormat="1" applyFont="1" applyFill="1" applyBorder="1" applyAlignment="1" applyProtection="1">
      <alignment horizontal="left" vertical="center" wrapText="1"/>
    </xf>
    <xf numFmtId="0" fontId="6" fillId="6" borderId="2" xfId="0" applyNumberFormat="1" applyFont="1" applyFill="1" applyBorder="1" applyAlignment="1" applyProtection="1">
      <alignment horizontal="left" vertical="center" wrapText="1"/>
    </xf>
    <xf numFmtId="0" fontId="6" fillId="6" borderId="4" xfId="0" applyNumberFormat="1" applyFont="1" applyFill="1" applyBorder="1" applyAlignment="1" applyProtection="1">
      <alignment horizontal="left" vertical="center" wrapText="1"/>
    </xf>
    <xf numFmtId="0" fontId="19" fillId="2" borderId="1" xfId="0" applyNumberFormat="1" applyFont="1" applyFill="1" applyBorder="1" applyAlignment="1" applyProtection="1">
      <alignment horizontal="left" vertical="center" wrapText="1"/>
    </xf>
    <xf numFmtId="0" fontId="19" fillId="2" borderId="2" xfId="0" applyNumberFormat="1" applyFont="1" applyFill="1" applyBorder="1" applyAlignment="1" applyProtection="1">
      <alignment horizontal="left" vertical="center" wrapText="1"/>
    </xf>
    <xf numFmtId="0" fontId="19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3" fillId="0" borderId="1" xfId="0" applyNumberFormat="1" applyFont="1" applyFill="1" applyBorder="1" applyAlignment="1" applyProtection="1">
      <alignment horizontal="left" vertical="center" wrapText="1" indent="1"/>
    </xf>
    <xf numFmtId="0" fontId="3" fillId="0" borderId="2" xfId="0" applyNumberFormat="1" applyFont="1" applyFill="1" applyBorder="1" applyAlignment="1" applyProtection="1">
      <alignment horizontal="left" vertical="center" wrapText="1" indent="1"/>
    </xf>
    <xf numFmtId="0" fontId="3" fillId="0" borderId="4" xfId="0" applyNumberFormat="1" applyFont="1" applyFill="1" applyBorder="1" applyAlignment="1" applyProtection="1">
      <alignment horizontal="left" vertical="center" wrapText="1" indent="1"/>
    </xf>
    <xf numFmtId="0" fontId="6" fillId="9" borderId="1" xfId="0" applyNumberFormat="1" applyFont="1" applyFill="1" applyBorder="1" applyAlignment="1" applyProtection="1">
      <alignment horizontal="left" vertical="center" wrapText="1"/>
    </xf>
    <xf numFmtId="0" fontId="6" fillId="9" borderId="2" xfId="0" applyNumberFormat="1" applyFont="1" applyFill="1" applyBorder="1" applyAlignment="1" applyProtection="1">
      <alignment horizontal="left" vertical="center" wrapText="1"/>
    </xf>
    <xf numFmtId="0" fontId="6" fillId="9" borderId="4" xfId="0" applyNumberFormat="1" applyFont="1" applyFill="1" applyBorder="1" applyAlignment="1" applyProtection="1">
      <alignment horizontal="left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left" vertical="center" wrapText="1"/>
    </xf>
    <xf numFmtId="0" fontId="19" fillId="0" borderId="2" xfId="0" applyNumberFormat="1" applyFont="1" applyFill="1" applyBorder="1" applyAlignment="1" applyProtection="1">
      <alignment horizontal="left" vertical="center" wrapText="1"/>
    </xf>
    <xf numFmtId="0" fontId="19" fillId="0" borderId="4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zoomScaleNormal="100" workbookViewId="0">
      <selection activeCell="I8" sqref="I8"/>
    </sheetView>
  </sheetViews>
  <sheetFormatPr defaultRowHeight="15" x14ac:dyDescent="0.25"/>
  <cols>
    <col min="5" max="11" width="25.28515625" customWidth="1"/>
  </cols>
  <sheetData>
    <row r="1" spans="1:12" ht="42" customHeight="1" x14ac:dyDescent="0.25">
      <c r="A1" s="138" t="s">
        <v>189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26"/>
    </row>
    <row r="2" spans="1:12" ht="18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2" ht="15.75" x14ac:dyDescent="0.25">
      <c r="A3" s="138" t="s">
        <v>20</v>
      </c>
      <c r="B3" s="138"/>
      <c r="C3" s="138"/>
      <c r="D3" s="138"/>
      <c r="E3" s="138"/>
      <c r="F3" s="138"/>
      <c r="G3" s="138"/>
      <c r="H3" s="151"/>
      <c r="I3" s="151"/>
      <c r="J3" s="151"/>
      <c r="K3" s="151"/>
    </row>
    <row r="4" spans="1:12" ht="18" x14ac:dyDescent="0.25">
      <c r="A4" s="18"/>
      <c r="B4" s="18"/>
      <c r="C4" s="18"/>
      <c r="D4" s="18"/>
      <c r="E4" s="18"/>
      <c r="F4" s="18"/>
      <c r="G4" s="18"/>
      <c r="H4" s="5"/>
      <c r="I4" s="5"/>
      <c r="J4" s="5"/>
      <c r="K4" s="5"/>
    </row>
    <row r="5" spans="1:12" ht="15.75" x14ac:dyDescent="0.25">
      <c r="A5" s="138" t="s">
        <v>24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</row>
    <row r="6" spans="1:12" ht="18" x14ac:dyDescent="0.25">
      <c r="A6" s="1"/>
      <c r="B6" s="2"/>
      <c r="C6" s="2"/>
      <c r="D6" s="2"/>
      <c r="E6" s="6"/>
      <c r="F6" s="7"/>
      <c r="G6" s="7"/>
      <c r="H6" s="7"/>
      <c r="I6" s="7"/>
      <c r="J6" s="7"/>
      <c r="K6" s="24" t="s">
        <v>43</v>
      </c>
    </row>
    <row r="7" spans="1:12" ht="25.5" x14ac:dyDescent="0.25">
      <c r="A7" s="20"/>
      <c r="B7" s="21"/>
      <c r="C7" s="21"/>
      <c r="D7" s="22"/>
      <c r="E7" s="23"/>
      <c r="F7" s="3" t="s">
        <v>159</v>
      </c>
      <c r="G7" s="80" t="s">
        <v>167</v>
      </c>
      <c r="H7" s="3" t="s">
        <v>163</v>
      </c>
      <c r="I7" s="3" t="s">
        <v>190</v>
      </c>
      <c r="J7" s="3" t="s">
        <v>165</v>
      </c>
      <c r="K7" s="3" t="s">
        <v>166</v>
      </c>
    </row>
    <row r="8" spans="1:12" x14ac:dyDescent="0.25">
      <c r="A8" s="143" t="s">
        <v>0</v>
      </c>
      <c r="B8" s="137"/>
      <c r="C8" s="137"/>
      <c r="D8" s="137"/>
      <c r="E8" s="152"/>
      <c r="F8" s="95">
        <f t="shared" ref="F8:K8" si="0">F9+F10</f>
        <v>4204660.0299999993</v>
      </c>
      <c r="G8" s="95">
        <f t="shared" si="0"/>
        <v>5120808.8600000003</v>
      </c>
      <c r="H8" s="95">
        <f t="shared" si="0"/>
        <v>5157003</v>
      </c>
      <c r="I8" s="95">
        <f t="shared" si="0"/>
        <v>5323223.62</v>
      </c>
      <c r="J8" s="95">
        <f t="shared" si="0"/>
        <v>4970869.49</v>
      </c>
      <c r="K8" s="95">
        <f t="shared" si="0"/>
        <v>4930869.49</v>
      </c>
    </row>
    <row r="9" spans="1:12" x14ac:dyDescent="0.25">
      <c r="A9" s="153" t="s">
        <v>112</v>
      </c>
      <c r="B9" s="154"/>
      <c r="C9" s="154"/>
      <c r="D9" s="154"/>
      <c r="E9" s="150"/>
      <c r="F9" s="94">
        <f>' Račun prihoda i rashoda po eko'!D11</f>
        <v>4204660.0299999993</v>
      </c>
      <c r="G9" s="94">
        <f>' Račun prihoda i rashoda po eko'!E11</f>
        <v>5120808.8600000003</v>
      </c>
      <c r="H9" s="94">
        <f>' Račun prihoda i rashoda po eko'!F11</f>
        <v>5157003</v>
      </c>
      <c r="I9" s="94">
        <f>' Račun prihoda i rashoda po eko'!G11</f>
        <v>5323223.62</v>
      </c>
      <c r="J9" s="94">
        <f>' Račun prihoda i rashoda po eko'!H11</f>
        <v>4970869.49</v>
      </c>
      <c r="K9" s="94">
        <f>' Račun prihoda i rashoda po eko'!I11</f>
        <v>4930869.49</v>
      </c>
    </row>
    <row r="10" spans="1:12" x14ac:dyDescent="0.25">
      <c r="A10" s="155" t="s">
        <v>111</v>
      </c>
      <c r="B10" s="150"/>
      <c r="C10" s="150"/>
      <c r="D10" s="150"/>
      <c r="E10" s="150"/>
      <c r="F10" s="94"/>
      <c r="G10" s="94"/>
      <c r="H10" s="94"/>
      <c r="I10" s="94"/>
      <c r="J10" s="94"/>
      <c r="K10" s="94"/>
    </row>
    <row r="11" spans="1:12" x14ac:dyDescent="0.25">
      <c r="A11" s="25" t="s">
        <v>1</v>
      </c>
      <c r="B11" s="70"/>
      <c r="C11" s="70"/>
      <c r="D11" s="70"/>
      <c r="E11" s="70"/>
      <c r="F11" s="95">
        <f t="shared" ref="F11:K11" si="1">F12+F13</f>
        <v>4243900.2</v>
      </c>
      <c r="G11" s="95">
        <f t="shared" si="1"/>
        <v>5095713.87</v>
      </c>
      <c r="H11" s="95">
        <f t="shared" si="1"/>
        <v>4763203</v>
      </c>
      <c r="I11" s="95">
        <f t="shared" si="1"/>
        <v>4991274.49</v>
      </c>
      <c r="J11" s="95">
        <f t="shared" si="1"/>
        <v>4970869.49</v>
      </c>
      <c r="K11" s="95">
        <f t="shared" si="1"/>
        <v>4930869.49</v>
      </c>
    </row>
    <row r="12" spans="1:12" x14ac:dyDescent="0.25">
      <c r="A12" s="156" t="s">
        <v>110</v>
      </c>
      <c r="B12" s="154"/>
      <c r="C12" s="154"/>
      <c r="D12" s="154"/>
      <c r="E12" s="154"/>
      <c r="F12" s="94">
        <f>' Račun prihoda i rashoda po eko'!D24</f>
        <v>4108178.02</v>
      </c>
      <c r="G12" s="94">
        <v>5095713.87</v>
      </c>
      <c r="H12" s="94">
        <f>' Račun prihoda i rashoda po eko'!F24</f>
        <v>4580403</v>
      </c>
      <c r="I12" s="94">
        <f>' Račun prihoda i rashoda po eko'!G24</f>
        <v>4786573.49</v>
      </c>
      <c r="J12" s="94">
        <f>' Račun prihoda i rashoda po eko'!H24</f>
        <v>4773568.49</v>
      </c>
      <c r="K12" s="94">
        <f>' Račun prihoda i rashoda po eko'!I24</f>
        <v>4773568.49</v>
      </c>
    </row>
    <row r="13" spans="1:12" x14ac:dyDescent="0.25">
      <c r="A13" s="149" t="s">
        <v>109</v>
      </c>
      <c r="B13" s="150"/>
      <c r="C13" s="150"/>
      <c r="D13" s="150"/>
      <c r="E13" s="150"/>
      <c r="F13" s="97">
        <f>' Račun prihoda i rashoda po eko'!D30</f>
        <v>135722.18</v>
      </c>
      <c r="G13" s="97"/>
      <c r="H13" s="97">
        <f>' Račun prihoda i rashoda po eko'!F30</f>
        <v>182800</v>
      </c>
      <c r="I13" s="97">
        <f>' Račun prihoda i rashoda po eko'!G30</f>
        <v>204701</v>
      </c>
      <c r="J13" s="97">
        <f>' Račun prihoda i rashoda po eko'!H30</f>
        <v>197301</v>
      </c>
      <c r="K13" s="97">
        <f>' Račun prihoda i rashoda po eko'!I30</f>
        <v>157301</v>
      </c>
    </row>
    <row r="14" spans="1:12" x14ac:dyDescent="0.25">
      <c r="A14" s="136" t="s">
        <v>2</v>
      </c>
      <c r="B14" s="137"/>
      <c r="C14" s="137"/>
      <c r="D14" s="137"/>
      <c r="E14" s="137"/>
      <c r="F14" s="95">
        <f t="shared" ref="F14:K14" si="2">F8-F11</f>
        <v>-39240.170000000857</v>
      </c>
      <c r="G14" s="95">
        <f t="shared" si="2"/>
        <v>25094.990000000224</v>
      </c>
      <c r="H14" s="95">
        <f t="shared" si="2"/>
        <v>393800</v>
      </c>
      <c r="I14" s="95">
        <f t="shared" si="2"/>
        <v>331949.12999999989</v>
      </c>
      <c r="J14" s="95">
        <f t="shared" si="2"/>
        <v>0</v>
      </c>
      <c r="K14" s="95">
        <f t="shared" si="2"/>
        <v>0</v>
      </c>
    </row>
    <row r="15" spans="1:12" ht="18" x14ac:dyDescent="0.25">
      <c r="A15" s="18"/>
      <c r="B15" s="16"/>
      <c r="C15" s="16"/>
      <c r="D15" s="16"/>
      <c r="E15" s="16"/>
      <c r="F15" s="16"/>
      <c r="G15" s="17"/>
      <c r="H15" s="17"/>
      <c r="I15" s="17"/>
      <c r="J15" s="17"/>
      <c r="K15" s="17"/>
    </row>
    <row r="16" spans="1:12" ht="15.75" x14ac:dyDescent="0.25">
      <c r="A16" s="138" t="s">
        <v>25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</row>
    <row r="17" spans="1:11" ht="18" x14ac:dyDescent="0.25">
      <c r="A17" s="18"/>
      <c r="B17" s="16"/>
      <c r="C17" s="16"/>
      <c r="D17" s="16"/>
      <c r="E17" s="16"/>
      <c r="F17" s="16"/>
      <c r="G17" s="17"/>
      <c r="H17" s="17"/>
      <c r="I17" s="17"/>
      <c r="J17" s="17"/>
      <c r="K17" s="17"/>
    </row>
    <row r="18" spans="1:11" ht="25.5" x14ac:dyDescent="0.25">
      <c r="A18" s="20"/>
      <c r="B18" s="21"/>
      <c r="C18" s="21"/>
      <c r="D18" s="22"/>
      <c r="E18" s="23"/>
      <c r="F18" s="3" t="s">
        <v>159</v>
      </c>
      <c r="G18" s="80" t="s">
        <v>167</v>
      </c>
      <c r="H18" s="3" t="s">
        <v>163</v>
      </c>
      <c r="I18" s="3" t="s">
        <v>190</v>
      </c>
      <c r="J18" s="3" t="s">
        <v>165</v>
      </c>
      <c r="K18" s="3" t="s">
        <v>166</v>
      </c>
    </row>
    <row r="19" spans="1:11" x14ac:dyDescent="0.25">
      <c r="A19" s="149" t="s">
        <v>108</v>
      </c>
      <c r="B19" s="150"/>
      <c r="C19" s="150"/>
      <c r="D19" s="150"/>
      <c r="E19" s="150"/>
      <c r="F19" s="97"/>
      <c r="G19" s="97"/>
      <c r="H19" s="97"/>
      <c r="I19" s="97"/>
      <c r="J19" s="97"/>
      <c r="K19" s="96"/>
    </row>
    <row r="20" spans="1:11" x14ac:dyDescent="0.25">
      <c r="A20" s="149" t="s">
        <v>107</v>
      </c>
      <c r="B20" s="150"/>
      <c r="C20" s="150"/>
      <c r="D20" s="150"/>
      <c r="E20" s="150"/>
      <c r="F20" s="97"/>
      <c r="G20" s="97"/>
      <c r="H20" s="97"/>
      <c r="I20" s="97"/>
      <c r="J20" s="97"/>
      <c r="K20" s="96"/>
    </row>
    <row r="21" spans="1:11" x14ac:dyDescent="0.25">
      <c r="A21" s="136" t="s">
        <v>4</v>
      </c>
      <c r="B21" s="137"/>
      <c r="C21" s="137"/>
      <c r="D21" s="137"/>
      <c r="E21" s="137"/>
      <c r="F21" s="95">
        <f t="shared" ref="F21:K21" si="3">F19-F20</f>
        <v>0</v>
      </c>
      <c r="G21" s="95">
        <f t="shared" si="3"/>
        <v>0</v>
      </c>
      <c r="H21" s="95">
        <f t="shared" si="3"/>
        <v>0</v>
      </c>
      <c r="I21" s="95">
        <f t="shared" si="3"/>
        <v>0</v>
      </c>
      <c r="J21" s="95">
        <f t="shared" si="3"/>
        <v>0</v>
      </c>
      <c r="K21" s="95">
        <f t="shared" si="3"/>
        <v>0</v>
      </c>
    </row>
    <row r="22" spans="1:11" x14ac:dyDescent="0.25">
      <c r="A22" s="136" t="s">
        <v>5</v>
      </c>
      <c r="B22" s="137"/>
      <c r="C22" s="137"/>
      <c r="D22" s="137"/>
      <c r="E22" s="137"/>
      <c r="F22" s="95">
        <f t="shared" ref="F22:K22" si="4">F14+F21</f>
        <v>-39240.170000000857</v>
      </c>
      <c r="G22" s="95">
        <f t="shared" si="4"/>
        <v>25094.990000000224</v>
      </c>
      <c r="H22" s="95">
        <f t="shared" si="4"/>
        <v>393800</v>
      </c>
      <c r="I22" s="95">
        <f t="shared" si="4"/>
        <v>331949.12999999989</v>
      </c>
      <c r="J22" s="95">
        <f t="shared" si="4"/>
        <v>0</v>
      </c>
      <c r="K22" s="95">
        <f t="shared" si="4"/>
        <v>0</v>
      </c>
    </row>
    <row r="23" spans="1:11" ht="18" x14ac:dyDescent="0.25">
      <c r="A23" s="15"/>
      <c r="B23" s="16"/>
      <c r="C23" s="16"/>
      <c r="D23" s="16"/>
      <c r="E23" s="16"/>
      <c r="F23" s="16"/>
      <c r="G23" s="17"/>
      <c r="H23" s="17"/>
      <c r="I23" s="17"/>
      <c r="J23" s="17"/>
      <c r="K23" s="17"/>
    </row>
    <row r="24" spans="1:11" ht="15.75" x14ac:dyDescent="0.25">
      <c r="A24" s="138" t="s">
        <v>106</v>
      </c>
      <c r="B24" s="139"/>
      <c r="C24" s="139"/>
      <c r="D24" s="139"/>
      <c r="E24" s="139"/>
      <c r="F24" s="139"/>
      <c r="G24" s="139"/>
      <c r="H24" s="139"/>
      <c r="I24" s="139"/>
      <c r="J24" s="139"/>
      <c r="K24" s="139"/>
    </row>
    <row r="25" spans="1:11" ht="15.75" x14ac:dyDescent="0.25">
      <c r="A25" s="68"/>
      <c r="B25" s="69"/>
      <c r="C25" s="69"/>
      <c r="D25" s="69"/>
      <c r="E25" s="69"/>
      <c r="F25" s="69"/>
      <c r="G25" s="115"/>
      <c r="H25" s="69"/>
      <c r="I25" s="132"/>
      <c r="J25" s="131"/>
      <c r="K25" s="69"/>
    </row>
    <row r="26" spans="1:11" ht="25.5" x14ac:dyDescent="0.25">
      <c r="A26" s="20"/>
      <c r="B26" s="21"/>
      <c r="C26" s="21"/>
      <c r="D26" s="22"/>
      <c r="E26" s="23"/>
      <c r="F26" s="3" t="s">
        <v>159</v>
      </c>
      <c r="G26" s="80" t="s">
        <v>167</v>
      </c>
      <c r="H26" s="3" t="s">
        <v>163</v>
      </c>
      <c r="I26" s="3" t="s">
        <v>190</v>
      </c>
      <c r="J26" s="3" t="s">
        <v>165</v>
      </c>
      <c r="K26" s="3" t="s">
        <v>166</v>
      </c>
    </row>
    <row r="27" spans="1:11" ht="15" customHeight="1" x14ac:dyDescent="0.25">
      <c r="A27" s="140" t="s">
        <v>103</v>
      </c>
      <c r="B27" s="141"/>
      <c r="C27" s="141"/>
      <c r="D27" s="141"/>
      <c r="E27" s="142"/>
      <c r="F27" s="98">
        <v>14145.18</v>
      </c>
      <c r="G27" s="98">
        <v>-25094.99</v>
      </c>
      <c r="H27" s="98">
        <v>-393800</v>
      </c>
      <c r="I27" s="98">
        <v>-331949.13</v>
      </c>
      <c r="J27" s="98"/>
      <c r="K27" s="99"/>
    </row>
    <row r="28" spans="1:11" ht="15" customHeight="1" x14ac:dyDescent="0.25">
      <c r="A28" s="136" t="s">
        <v>101</v>
      </c>
      <c r="B28" s="137"/>
      <c r="C28" s="137"/>
      <c r="D28" s="137"/>
      <c r="E28" s="137"/>
      <c r="F28" s="100"/>
      <c r="G28" s="100">
        <f>G22+G27</f>
        <v>2.2191670723259449E-10</v>
      </c>
      <c r="H28" s="100"/>
      <c r="I28" s="100"/>
      <c r="J28" s="100"/>
      <c r="K28" s="101"/>
    </row>
    <row r="29" spans="1:11" ht="45" customHeight="1" x14ac:dyDescent="0.25">
      <c r="A29" s="143" t="s">
        <v>105</v>
      </c>
      <c r="B29" s="144"/>
      <c r="C29" s="144"/>
      <c r="D29" s="144"/>
      <c r="E29" s="145"/>
      <c r="F29" s="100">
        <f t="shared" ref="F29:K29" si="5">F14+F21+F27-F28</f>
        <v>-25094.990000000857</v>
      </c>
      <c r="G29" s="100">
        <f t="shared" si="5"/>
        <v>0</v>
      </c>
      <c r="H29" s="100">
        <f t="shared" si="5"/>
        <v>0</v>
      </c>
      <c r="I29" s="100">
        <f t="shared" si="5"/>
        <v>-1.1641532182693481E-10</v>
      </c>
      <c r="J29" s="100">
        <f t="shared" si="5"/>
        <v>0</v>
      </c>
      <c r="K29" s="101">
        <f t="shared" si="5"/>
        <v>0</v>
      </c>
    </row>
    <row r="30" spans="1:11" ht="15.75" x14ac:dyDescent="0.25">
      <c r="A30" s="79"/>
      <c r="B30" s="78"/>
      <c r="C30" s="78"/>
      <c r="D30" s="78"/>
      <c r="E30" s="78"/>
      <c r="F30" s="78"/>
      <c r="G30" s="78"/>
      <c r="H30" s="78"/>
      <c r="I30" s="78"/>
      <c r="J30" s="78"/>
      <c r="K30" s="78"/>
    </row>
    <row r="31" spans="1:11" ht="15.75" x14ac:dyDescent="0.25">
      <c r="A31" s="146" t="s">
        <v>104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</row>
    <row r="32" spans="1:11" ht="18" x14ac:dyDescent="0.25">
      <c r="A32" s="77"/>
      <c r="B32" s="76"/>
      <c r="C32" s="76"/>
      <c r="D32" s="76"/>
      <c r="E32" s="76"/>
      <c r="F32" s="76"/>
      <c r="G32" s="75"/>
      <c r="H32" s="75"/>
      <c r="I32" s="75"/>
      <c r="J32" s="75"/>
      <c r="K32" s="75"/>
    </row>
    <row r="33" spans="1:11" ht="25.5" x14ac:dyDescent="0.25">
      <c r="A33" s="74"/>
      <c r="B33" s="73"/>
      <c r="C33" s="73"/>
      <c r="D33" s="72"/>
      <c r="E33" s="71"/>
      <c r="F33" s="3" t="s">
        <v>159</v>
      </c>
      <c r="G33" s="80" t="s">
        <v>167</v>
      </c>
      <c r="H33" s="3" t="s">
        <v>163</v>
      </c>
      <c r="I33" s="3" t="s">
        <v>190</v>
      </c>
      <c r="J33" s="3" t="s">
        <v>165</v>
      </c>
      <c r="K33" s="3" t="s">
        <v>166</v>
      </c>
    </row>
    <row r="34" spans="1:11" x14ac:dyDescent="0.25">
      <c r="A34" s="140" t="s">
        <v>103</v>
      </c>
      <c r="B34" s="141"/>
      <c r="C34" s="141"/>
      <c r="D34" s="141"/>
      <c r="E34" s="142"/>
      <c r="F34" s="98">
        <v>0</v>
      </c>
      <c r="G34" s="98">
        <f>G27</f>
        <v>-25094.99</v>
      </c>
      <c r="H34" s="98">
        <f>H27</f>
        <v>-393800</v>
      </c>
      <c r="I34" s="98">
        <f>I27</f>
        <v>-331949.13</v>
      </c>
      <c r="J34" s="98"/>
      <c r="K34" s="99"/>
    </row>
    <row r="35" spans="1:11" ht="28.5" customHeight="1" x14ac:dyDescent="0.25">
      <c r="A35" s="140" t="s">
        <v>3</v>
      </c>
      <c r="B35" s="141"/>
      <c r="C35" s="141"/>
      <c r="D35" s="141"/>
      <c r="E35" s="142"/>
      <c r="F35" s="98">
        <v>0</v>
      </c>
      <c r="G35" s="98">
        <v>-25094.99</v>
      </c>
      <c r="H35" s="98">
        <v>-393800</v>
      </c>
      <c r="I35" s="98">
        <v>-331949.13</v>
      </c>
      <c r="J35" s="98">
        <v>0</v>
      </c>
      <c r="K35" s="99">
        <v>0</v>
      </c>
    </row>
    <row r="36" spans="1:11" x14ac:dyDescent="0.25">
      <c r="A36" s="140" t="s">
        <v>102</v>
      </c>
      <c r="B36" s="147"/>
      <c r="C36" s="147"/>
      <c r="D36" s="147"/>
      <c r="E36" s="148"/>
      <c r="F36" s="98">
        <v>0</v>
      </c>
      <c r="G36" s="98"/>
      <c r="H36" s="98">
        <v>0</v>
      </c>
      <c r="I36" s="98">
        <v>0</v>
      </c>
      <c r="J36" s="98">
        <v>0</v>
      </c>
      <c r="K36" s="99">
        <v>0</v>
      </c>
    </row>
    <row r="37" spans="1:11" ht="15" customHeight="1" x14ac:dyDescent="0.25">
      <c r="A37" s="136" t="s">
        <v>101</v>
      </c>
      <c r="B37" s="137"/>
      <c r="C37" s="137"/>
      <c r="D37" s="137"/>
      <c r="E37" s="137"/>
      <c r="F37" s="102">
        <f t="shared" ref="F37:K37" si="6">F34-F35+F36</f>
        <v>0</v>
      </c>
      <c r="G37" s="102">
        <f t="shared" si="6"/>
        <v>0</v>
      </c>
      <c r="H37" s="102">
        <f t="shared" si="6"/>
        <v>0</v>
      </c>
      <c r="I37" s="102">
        <f t="shared" si="6"/>
        <v>0</v>
      </c>
      <c r="J37" s="102">
        <f t="shared" si="6"/>
        <v>0</v>
      </c>
      <c r="K37" s="103">
        <f t="shared" si="6"/>
        <v>0</v>
      </c>
    </row>
    <row r="38" spans="1:11" ht="17.25" customHeight="1" x14ac:dyDescent="0.25"/>
    <row r="39" spans="1:11" x14ac:dyDescent="0.25">
      <c r="A39" s="134"/>
      <c r="B39" s="135"/>
      <c r="C39" s="135"/>
      <c r="D39" s="135"/>
      <c r="E39" s="135"/>
      <c r="F39" s="135"/>
      <c r="G39" s="135"/>
      <c r="H39" s="135"/>
      <c r="I39" s="135"/>
      <c r="J39" s="135"/>
      <c r="K39" s="135"/>
    </row>
    <row r="40" spans="1:11" ht="9" customHeight="1" x14ac:dyDescent="0.25"/>
    <row r="41" spans="1:11" ht="7.9" customHeight="1" x14ac:dyDescent="0.25"/>
    <row r="42" spans="1:11" hidden="1" x14ac:dyDescent="0.25"/>
    <row r="43" spans="1:11" hidden="1" x14ac:dyDescent="0.25"/>
    <row r="44" spans="1:11" ht="57.6" customHeight="1" x14ac:dyDescent="0.25">
      <c r="A44" s="134" t="s">
        <v>26</v>
      </c>
      <c r="B44" s="135"/>
      <c r="C44" s="135"/>
      <c r="D44" s="135"/>
      <c r="E44" s="135"/>
      <c r="F44" s="135"/>
      <c r="G44" s="116"/>
    </row>
  </sheetData>
  <mergeCells count="25">
    <mergeCell ref="A20:E20"/>
    <mergeCell ref="A1:K1"/>
    <mergeCell ref="A3:K3"/>
    <mergeCell ref="A5:K5"/>
    <mergeCell ref="A8:E8"/>
    <mergeCell ref="A9:E9"/>
    <mergeCell ref="A10:E10"/>
    <mergeCell ref="A12:E12"/>
    <mergeCell ref="A13:E13"/>
    <mergeCell ref="A14:E14"/>
    <mergeCell ref="A16:K16"/>
    <mergeCell ref="A19:E19"/>
    <mergeCell ref="A44:F44"/>
    <mergeCell ref="A39:K39"/>
    <mergeCell ref="A21:E21"/>
    <mergeCell ref="A22:E22"/>
    <mergeCell ref="A24:K24"/>
    <mergeCell ref="A27:E27"/>
    <mergeCell ref="A28:E28"/>
    <mergeCell ref="A29:E29"/>
    <mergeCell ref="A31:K31"/>
    <mergeCell ref="A34:E34"/>
    <mergeCell ref="A35:E35"/>
    <mergeCell ref="A37:E37"/>
    <mergeCell ref="A36:E36"/>
  </mergeCells>
  <pageMargins left="0.51181102362204722" right="0.51181102362204722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2"/>
  <sheetViews>
    <sheetView zoomScale="110" zoomScaleNormal="110" workbookViewId="0">
      <selection activeCell="G23" sqref="G2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9" width="25.28515625" customWidth="1"/>
  </cols>
  <sheetData>
    <row r="1" spans="1:12" ht="42" customHeight="1" x14ac:dyDescent="0.25">
      <c r="A1" s="138" t="s">
        <v>189</v>
      </c>
      <c r="B1" s="138"/>
      <c r="C1" s="138"/>
      <c r="D1" s="138"/>
      <c r="E1" s="138"/>
      <c r="F1" s="138"/>
      <c r="G1" s="138"/>
      <c r="H1" s="138"/>
      <c r="I1" s="138"/>
      <c r="J1" s="126"/>
      <c r="K1" s="126"/>
      <c r="L1" s="126"/>
    </row>
    <row r="2" spans="1:12" ht="18" customHeight="1" x14ac:dyDescent="0.25">
      <c r="A2" s="18"/>
      <c r="B2" s="18"/>
      <c r="C2" s="18"/>
      <c r="D2" s="18"/>
      <c r="E2" s="18"/>
      <c r="F2" s="18"/>
      <c r="G2" s="18"/>
      <c r="H2" s="18"/>
      <c r="I2" s="18"/>
    </row>
    <row r="3" spans="1:12" ht="15.75" customHeight="1" x14ac:dyDescent="0.25">
      <c r="A3" s="138" t="s">
        <v>20</v>
      </c>
      <c r="B3" s="138"/>
      <c r="C3" s="138"/>
      <c r="D3" s="138"/>
      <c r="E3" s="138"/>
      <c r="F3" s="138"/>
      <c r="G3" s="138"/>
      <c r="H3" s="138"/>
      <c r="I3" s="138"/>
    </row>
    <row r="4" spans="1:12" ht="18" x14ac:dyDescent="0.25">
      <c r="A4" s="18"/>
      <c r="B4" s="18"/>
      <c r="C4" s="18"/>
      <c r="D4" s="18"/>
      <c r="E4" s="18"/>
      <c r="F4" s="5"/>
      <c r="G4" s="5"/>
      <c r="H4" s="5"/>
      <c r="I4" s="5"/>
    </row>
    <row r="5" spans="1:12" ht="18" customHeight="1" x14ac:dyDescent="0.25">
      <c r="A5" s="138" t="s">
        <v>7</v>
      </c>
      <c r="B5" s="138"/>
      <c r="C5" s="138"/>
      <c r="D5" s="138"/>
      <c r="E5" s="138"/>
      <c r="F5" s="138"/>
      <c r="G5" s="138"/>
      <c r="H5" s="138"/>
      <c r="I5" s="138"/>
    </row>
    <row r="6" spans="1:12" ht="18" x14ac:dyDescent="0.25">
      <c r="A6" s="18"/>
      <c r="B6" s="18"/>
      <c r="C6" s="18"/>
      <c r="D6" s="18"/>
      <c r="E6" s="18"/>
      <c r="F6" s="5"/>
      <c r="G6" s="5"/>
      <c r="H6" s="5"/>
      <c r="I6" s="5"/>
    </row>
    <row r="7" spans="1:12" ht="15.75" customHeight="1" x14ac:dyDescent="0.25">
      <c r="A7" s="138" t="s">
        <v>113</v>
      </c>
      <c r="B7" s="138"/>
      <c r="C7" s="138"/>
      <c r="D7" s="138"/>
      <c r="E7" s="138"/>
      <c r="F7" s="138"/>
      <c r="G7" s="138"/>
      <c r="H7" s="138"/>
      <c r="I7" s="138"/>
    </row>
    <row r="8" spans="1:12" ht="18" x14ac:dyDescent="0.25">
      <c r="A8" s="18"/>
      <c r="B8" s="18"/>
      <c r="C8" s="18"/>
      <c r="D8" s="18"/>
      <c r="E8" s="18"/>
      <c r="F8" s="5"/>
      <c r="G8" s="5"/>
      <c r="H8" s="5"/>
      <c r="I8" s="5"/>
    </row>
    <row r="9" spans="1:12" ht="25.5" x14ac:dyDescent="0.25">
      <c r="A9" s="14" t="s">
        <v>8</v>
      </c>
      <c r="B9" s="13" t="s">
        <v>9</v>
      </c>
      <c r="C9" s="13" t="s">
        <v>6</v>
      </c>
      <c r="D9" s="14" t="s">
        <v>160</v>
      </c>
      <c r="E9" s="14" t="s">
        <v>167</v>
      </c>
      <c r="F9" s="14" t="s">
        <v>164</v>
      </c>
      <c r="G9" s="14" t="s">
        <v>191</v>
      </c>
      <c r="H9" s="14" t="s">
        <v>133</v>
      </c>
      <c r="I9" s="14" t="s">
        <v>162</v>
      </c>
    </row>
    <row r="10" spans="1:12" x14ac:dyDescent="0.25">
      <c r="A10" s="80"/>
      <c r="B10" s="81"/>
      <c r="C10" s="82" t="s">
        <v>0</v>
      </c>
      <c r="D10" s="106">
        <f>D11+D18</f>
        <v>4204660.0299999993</v>
      </c>
      <c r="E10" s="106">
        <f>E11+E18</f>
        <v>5143417.2700000005</v>
      </c>
      <c r="F10" s="106">
        <f t="shared" ref="F10:I10" si="0">F11+F18</f>
        <v>5174103</v>
      </c>
      <c r="G10" s="106">
        <f t="shared" ref="G10" si="1">G11+G18</f>
        <v>5341628.62</v>
      </c>
      <c r="H10" s="106">
        <f t="shared" ref="H10" si="2">H11+H18</f>
        <v>4970869.49</v>
      </c>
      <c r="I10" s="106">
        <f t="shared" si="0"/>
        <v>4930869.49</v>
      </c>
    </row>
    <row r="11" spans="1:12" ht="15.75" customHeight="1" x14ac:dyDescent="0.25">
      <c r="A11" s="9">
        <v>6</v>
      </c>
      <c r="B11" s="9"/>
      <c r="C11" s="9" t="s">
        <v>10</v>
      </c>
      <c r="D11" s="105">
        <f>SUM(D12:D17)</f>
        <v>4204660.0299999993</v>
      </c>
      <c r="E11" s="105">
        <f t="shared" ref="E11" si="3">SUM(E12:E17)</f>
        <v>5120808.8600000003</v>
      </c>
      <c r="F11" s="105">
        <f t="shared" ref="F11:I11" si="4">SUM(F12:F17)</f>
        <v>5157003</v>
      </c>
      <c r="G11" s="105">
        <f t="shared" ref="G11" si="5">SUM(G12:G17)</f>
        <v>5323223.62</v>
      </c>
      <c r="H11" s="105">
        <f t="shared" ref="H11" si="6">SUM(H12:H17)</f>
        <v>4970869.49</v>
      </c>
      <c r="I11" s="105">
        <f t="shared" si="4"/>
        <v>4930869.49</v>
      </c>
    </row>
    <row r="12" spans="1:12" ht="38.25" x14ac:dyDescent="0.25">
      <c r="A12" s="27"/>
      <c r="B12" s="28">
        <v>63</v>
      </c>
      <c r="C12" s="28" t="s">
        <v>27</v>
      </c>
      <c r="D12" s="42">
        <v>3502894.92</v>
      </c>
      <c r="E12" s="42">
        <f>1188+12100+119099.07+4073455.23+31827.23+18880.55+78.08+1561.4</f>
        <v>4258189.5600000005</v>
      </c>
      <c r="F12" s="42">
        <f>22950+1705+13100+130050+3750840+36850+277700</f>
        <v>4233195</v>
      </c>
      <c r="G12" s="42">
        <f>165690+3921520.49+304183.62</f>
        <v>4391394.1100000003</v>
      </c>
      <c r="H12" s="42">
        <f t="shared" ref="H12:I12" si="7">165690+3921520.49</f>
        <v>4087210.49</v>
      </c>
      <c r="I12" s="42">
        <f t="shared" si="7"/>
        <v>4087210.49</v>
      </c>
    </row>
    <row r="13" spans="1:12" x14ac:dyDescent="0.25">
      <c r="A13" s="29"/>
      <c r="B13" s="29">
        <v>64</v>
      </c>
      <c r="C13" s="29" t="s">
        <v>30</v>
      </c>
      <c r="D13" s="42"/>
      <c r="E13" s="42"/>
      <c r="F13" s="42"/>
      <c r="G13" s="42"/>
      <c r="H13" s="42"/>
      <c r="I13" s="42"/>
    </row>
    <row r="14" spans="1:12" ht="58.5" customHeight="1" x14ac:dyDescent="0.25">
      <c r="A14" s="29"/>
      <c r="B14" s="29">
        <v>65</v>
      </c>
      <c r="C14" s="30" t="s">
        <v>31</v>
      </c>
      <c r="D14" s="42">
        <v>82950.42</v>
      </c>
      <c r="E14" s="42">
        <f>91450</f>
        <v>91450</v>
      </c>
      <c r="F14" s="42">
        <f>91450</f>
        <v>91450</v>
      </c>
      <c r="G14" s="42">
        <f>100450</f>
        <v>100450</v>
      </c>
      <c r="H14" s="42">
        <f t="shared" ref="H14:I14" si="8">100450</f>
        <v>100450</v>
      </c>
      <c r="I14" s="42">
        <f t="shared" si="8"/>
        <v>100450</v>
      </c>
    </row>
    <row r="15" spans="1:12" ht="38.25" x14ac:dyDescent="0.25">
      <c r="A15" s="29"/>
      <c r="B15" s="29">
        <v>66</v>
      </c>
      <c r="C15" s="30" t="s">
        <v>36</v>
      </c>
      <c r="D15" s="42">
        <v>11706.78</v>
      </c>
      <c r="E15" s="42">
        <f>800+4165+850+500</f>
        <v>6315</v>
      </c>
      <c r="F15" s="42">
        <f>800+4500+1150+200</f>
        <v>6650</v>
      </c>
      <c r="G15" s="42">
        <f>800+4900+350</f>
        <v>6050</v>
      </c>
      <c r="H15" s="42">
        <f t="shared" ref="H15:I15" si="9">800+4900+350</f>
        <v>6050</v>
      </c>
      <c r="I15" s="42">
        <f t="shared" si="9"/>
        <v>6050</v>
      </c>
    </row>
    <row r="16" spans="1:12" ht="38.25" x14ac:dyDescent="0.25">
      <c r="A16" s="29"/>
      <c r="B16" s="29">
        <v>67</v>
      </c>
      <c r="C16" s="28" t="s">
        <v>28</v>
      </c>
      <c r="D16" s="42">
        <v>607107.69999999995</v>
      </c>
      <c r="E16" s="42">
        <f>572963.44+85000+21017.49+45200+11800+1600+27183.37</f>
        <v>764764.29999999993</v>
      </c>
      <c r="F16" s="42">
        <f>570118+82300+40000+133200</f>
        <v>825618</v>
      </c>
      <c r="G16" s="42">
        <f>629708+149301+46170.51</f>
        <v>825179.51</v>
      </c>
      <c r="H16" s="42">
        <v>777009</v>
      </c>
      <c r="I16" s="42">
        <v>737009</v>
      </c>
    </row>
    <row r="17" spans="1:14" ht="25.5" x14ac:dyDescent="0.25">
      <c r="A17" s="29"/>
      <c r="B17" s="29">
        <v>68</v>
      </c>
      <c r="C17" s="30" t="s">
        <v>32</v>
      </c>
      <c r="D17" s="42">
        <v>0.21</v>
      </c>
      <c r="E17" s="42">
        <f>90</f>
        <v>90</v>
      </c>
      <c r="F17" s="42">
        <f>90</f>
        <v>90</v>
      </c>
      <c r="G17" s="42">
        <f>150</f>
        <v>150</v>
      </c>
      <c r="H17" s="42">
        <f>150</f>
        <v>150</v>
      </c>
      <c r="I17" s="42">
        <f>150</f>
        <v>150</v>
      </c>
    </row>
    <row r="18" spans="1:14" s="107" customFormat="1" x14ac:dyDescent="0.25">
      <c r="A18" s="108"/>
      <c r="B18" s="109">
        <v>92</v>
      </c>
      <c r="C18" s="111" t="s">
        <v>73</v>
      </c>
      <c r="D18" s="110"/>
      <c r="E18" s="110">
        <v>22608.41</v>
      </c>
      <c r="F18" s="110">
        <v>17100</v>
      </c>
      <c r="G18" s="110">
        <v>18405</v>
      </c>
      <c r="H18" s="110"/>
      <c r="I18" s="110"/>
    </row>
    <row r="20" spans="1:14" ht="15.75" x14ac:dyDescent="0.25">
      <c r="A20" s="138" t="s">
        <v>114</v>
      </c>
      <c r="B20" s="157"/>
      <c r="C20" s="157"/>
      <c r="D20" s="157"/>
      <c r="E20" s="157"/>
      <c r="F20" s="157"/>
      <c r="G20" s="157"/>
      <c r="H20" s="157"/>
      <c r="I20" s="157"/>
      <c r="N20" s="130"/>
    </row>
    <row r="21" spans="1:14" ht="18" x14ac:dyDescent="0.25">
      <c r="A21" s="18"/>
      <c r="B21" s="18"/>
      <c r="C21" s="18"/>
      <c r="D21" s="18"/>
      <c r="E21" s="18"/>
      <c r="F21" s="5"/>
      <c r="G21" s="5"/>
      <c r="H21" s="5"/>
      <c r="I21" s="5"/>
    </row>
    <row r="22" spans="1:14" ht="25.5" x14ac:dyDescent="0.25">
      <c r="A22" s="14" t="s">
        <v>8</v>
      </c>
      <c r="B22" s="13" t="s">
        <v>9</v>
      </c>
      <c r="C22" s="13" t="s">
        <v>12</v>
      </c>
      <c r="D22" s="14" t="s">
        <v>160</v>
      </c>
      <c r="E22" s="14" t="s">
        <v>167</v>
      </c>
      <c r="F22" s="14" t="s">
        <v>164</v>
      </c>
      <c r="G22" s="14" t="s">
        <v>191</v>
      </c>
      <c r="H22" s="14" t="s">
        <v>133</v>
      </c>
      <c r="I22" s="14" t="s">
        <v>162</v>
      </c>
    </row>
    <row r="23" spans="1:14" x14ac:dyDescent="0.25">
      <c r="A23" s="80"/>
      <c r="B23" s="81"/>
      <c r="C23" s="82" t="s">
        <v>1</v>
      </c>
      <c r="D23" s="106">
        <f>D24+D30</f>
        <v>4243900.2</v>
      </c>
      <c r="E23" s="106">
        <f>E24+E30</f>
        <v>5095713.87</v>
      </c>
      <c r="F23" s="106">
        <f t="shared" ref="F23:I23" si="10">F24+F30</f>
        <v>4763203</v>
      </c>
      <c r="G23" s="106">
        <f t="shared" ref="G23" si="11">G24+G30</f>
        <v>4991274.49</v>
      </c>
      <c r="H23" s="106">
        <f t="shared" ref="H23" si="12">H24+H30</f>
        <v>4970869.49</v>
      </c>
      <c r="I23" s="106">
        <f t="shared" si="10"/>
        <v>4930869.49</v>
      </c>
    </row>
    <row r="24" spans="1:14" ht="15.75" customHeight="1" x14ac:dyDescent="0.25">
      <c r="A24" s="9">
        <v>3</v>
      </c>
      <c r="B24" s="9"/>
      <c r="C24" s="9" t="s">
        <v>13</v>
      </c>
      <c r="D24" s="105">
        <f>SUM(D25:D29)</f>
        <v>4108178.02</v>
      </c>
      <c r="E24" s="105">
        <f t="shared" ref="E24" si="13">SUM(E25:E29)</f>
        <v>4900023.2</v>
      </c>
      <c r="F24" s="105">
        <f t="shared" ref="F24:I24" si="14">SUM(F25:F29)</f>
        <v>4580403</v>
      </c>
      <c r="G24" s="105">
        <f t="shared" ref="G24" si="15">SUM(G25:G29)</f>
        <v>4786573.49</v>
      </c>
      <c r="H24" s="105">
        <f t="shared" ref="H24" si="16">SUM(H25:H29)</f>
        <v>4773568.49</v>
      </c>
      <c r="I24" s="105">
        <f t="shared" si="14"/>
        <v>4773568.49</v>
      </c>
    </row>
    <row r="25" spans="1:14" ht="21" customHeight="1" x14ac:dyDescent="0.25">
      <c r="A25" s="27"/>
      <c r="B25" s="28">
        <v>31</v>
      </c>
      <c r="C25" s="28" t="s">
        <v>14</v>
      </c>
      <c r="D25" s="42">
        <v>3421659.16</v>
      </c>
      <c r="E25" s="42">
        <f>'POSEBNI DIO'!F38+'POSEBNI DIO'!F41+'POSEBNI DIO'!F44+'POSEBNI DIO'!F47+'POSEBNI DIO'!F51+'POSEBNI DIO'!F55+'POSEBNI DIO'!F64+'POSEBNI DIO'!F135+'POSEBNI DIO'!F159+'POSEBNI DIO'!F164+'POSEBNI DIO'!F168+'POSEBNI DIO'!F172</f>
        <v>4094712.66</v>
      </c>
      <c r="F25" s="42">
        <f>'POSEBNI DIO'!G38+'POSEBNI DIO'!G41+'POSEBNI DIO'!G44+'POSEBNI DIO'!G47+'POSEBNI DIO'!G51+'POSEBNI DIO'!G55+'POSEBNI DIO'!G64+'POSEBNI DIO'!G135+'POSEBNI DIO'!G159+'POSEBNI DIO'!G164+'POSEBNI DIO'!G168+'POSEBNI DIO'!G172</f>
        <v>3769500</v>
      </c>
      <c r="G25" s="42">
        <f>'POSEBNI DIO'!H38+'POSEBNI DIO'!H41+'POSEBNI DIO'!H44+'POSEBNI DIO'!H47+'POSEBNI DIO'!H51+'POSEBNI DIO'!H55+'POSEBNI DIO'!H64+'POSEBNI DIO'!H135+'POSEBNI DIO'!H159+'POSEBNI DIO'!H164+'POSEBNI DIO'!H168+'POSEBNI DIO'!H172</f>
        <v>3939100</v>
      </c>
      <c r="H25" s="42">
        <f>'POSEBNI DIO'!I38+'POSEBNI DIO'!I41+'POSEBNI DIO'!I44+'POSEBNI DIO'!I47+'POSEBNI DIO'!I51+'POSEBNI DIO'!I55+'POSEBNI DIO'!I64+'POSEBNI DIO'!I135+'POSEBNI DIO'!I159+'POSEBNI DIO'!I164+'POSEBNI DIO'!I168+'POSEBNI DIO'!I172</f>
        <v>3939100</v>
      </c>
      <c r="I25" s="42">
        <f>'POSEBNI DIO'!J38+'POSEBNI DIO'!J41+'POSEBNI DIO'!J44+'POSEBNI DIO'!J47+'POSEBNI DIO'!J51+'POSEBNI DIO'!J55+'POSEBNI DIO'!J64+'POSEBNI DIO'!J135+'POSEBNI DIO'!J159+'POSEBNI DIO'!J164+'POSEBNI DIO'!J168+'POSEBNI DIO'!J172</f>
        <v>3939100</v>
      </c>
    </row>
    <row r="26" spans="1:14" x14ac:dyDescent="0.25">
      <c r="A26" s="29"/>
      <c r="B26" s="29">
        <v>32</v>
      </c>
      <c r="C26" s="29" t="s">
        <v>23</v>
      </c>
      <c r="D26" s="42">
        <v>564948.06999999995</v>
      </c>
      <c r="E26" s="42">
        <f>'POSEBNI DIO'!F10+'POSEBNI DIO'!F26+'POSEBNI DIO'!F48+'POSEBNI DIO'!F52+'POSEBNI DIO'!F58+'POSEBNI DIO'!F68+'POSEBNI DIO'!F71+'POSEBNI DIO'!F75+'POSEBNI DIO'!F78+'POSEBNI DIO'!F80+'POSEBNI DIO'!F82+'POSEBNI DIO'!F85+'POSEBNI DIO'!F90+'POSEBNI DIO'!F93+'POSEBNI DIO'!F95+'POSEBNI DIO'!F130+'POSEBNI DIO'!F136+'POSEBNI DIO'!F144+'POSEBNI DIO'!F149+'POSEBNI DIO'!F152+'POSEBNI DIO'!F155+'POSEBNI DIO'!F160+'POSEBNI DIO'!F165+'POSEBNI DIO'!F169+'POSEBNI DIO'!F173</f>
        <v>651992.03999999992</v>
      </c>
      <c r="F26" s="42">
        <f>'POSEBNI DIO'!G10+'POSEBNI DIO'!G26+'POSEBNI DIO'!G48+'POSEBNI DIO'!G52+'POSEBNI DIO'!G58+'POSEBNI DIO'!G68+'POSEBNI DIO'!G71+'POSEBNI DIO'!G75+'POSEBNI DIO'!G78+'POSEBNI DIO'!G80+'POSEBNI DIO'!G82+'POSEBNI DIO'!G85+'POSEBNI DIO'!G90+'POSEBNI DIO'!G93+'POSEBNI DIO'!G95+'POSEBNI DIO'!G130+'POSEBNI DIO'!G136+'POSEBNI DIO'!G144+'POSEBNI DIO'!G149+'POSEBNI DIO'!G152+'POSEBNI DIO'!G155+'POSEBNI DIO'!G160+'POSEBNI DIO'!G165+'POSEBNI DIO'!G169+'POSEBNI DIO'!G173</f>
        <v>662593</v>
      </c>
      <c r="G26" s="42">
        <f>'POSEBNI DIO'!H10+'POSEBNI DIO'!H26+'POSEBNI DIO'!H48+'POSEBNI DIO'!H52+'POSEBNI DIO'!H58+'POSEBNI DIO'!H68+'POSEBNI DIO'!H71+'POSEBNI DIO'!H75+'POSEBNI DIO'!H78+'POSEBNI DIO'!H80+'POSEBNI DIO'!H82+'POSEBNI DIO'!H85+'POSEBNI DIO'!H90+'POSEBNI DIO'!H93+'POSEBNI DIO'!H95+'POSEBNI DIO'!H130+'POSEBNI DIO'!H136+'POSEBNI DIO'!H144+'POSEBNI DIO'!H149+'POSEBNI DIO'!H152+'POSEBNI DIO'!H155+'POSEBNI DIO'!H160+'POSEBNI DIO'!H165+'POSEBNI DIO'!H169+'POSEBNI DIO'!H173</f>
        <v>699404.49</v>
      </c>
      <c r="H26" s="42">
        <f>'POSEBNI DIO'!I10+'POSEBNI DIO'!I26+'POSEBNI DIO'!I48+'POSEBNI DIO'!I52+'POSEBNI DIO'!I58+'POSEBNI DIO'!I68+'POSEBNI DIO'!I71+'POSEBNI DIO'!I75+'POSEBNI DIO'!I78+'POSEBNI DIO'!I80+'POSEBNI DIO'!I82+'POSEBNI DIO'!I85+'POSEBNI DIO'!I90+'POSEBNI DIO'!I93+'POSEBNI DIO'!I95+'POSEBNI DIO'!I130+'POSEBNI DIO'!I136+'POSEBNI DIO'!I144+'POSEBNI DIO'!I149+'POSEBNI DIO'!I152+'POSEBNI DIO'!I155+'POSEBNI DIO'!I160+'POSEBNI DIO'!I165+'POSEBNI DIO'!I169+'POSEBNI DIO'!I173</f>
        <v>686399.49</v>
      </c>
      <c r="I26" s="42">
        <f>'POSEBNI DIO'!J10+'POSEBNI DIO'!J26+'POSEBNI DIO'!J48+'POSEBNI DIO'!J52+'POSEBNI DIO'!J58+'POSEBNI DIO'!J68+'POSEBNI DIO'!J71+'POSEBNI DIO'!J75+'POSEBNI DIO'!J78+'POSEBNI DIO'!J80+'POSEBNI DIO'!J82+'POSEBNI DIO'!J85+'POSEBNI DIO'!J90+'POSEBNI DIO'!J93+'POSEBNI DIO'!J95+'POSEBNI DIO'!J130+'POSEBNI DIO'!J136+'POSEBNI DIO'!J144+'POSEBNI DIO'!J149+'POSEBNI DIO'!J152+'POSEBNI DIO'!J155+'POSEBNI DIO'!J160+'POSEBNI DIO'!J165+'POSEBNI DIO'!J169+'POSEBNI DIO'!J173</f>
        <v>686399.49</v>
      </c>
    </row>
    <row r="27" spans="1:14" x14ac:dyDescent="0.25">
      <c r="A27" s="29"/>
      <c r="B27" s="29">
        <v>34</v>
      </c>
      <c r="C27" s="29" t="s">
        <v>33</v>
      </c>
      <c r="D27" s="42">
        <v>44.48</v>
      </c>
      <c r="E27" s="42">
        <f>'POSEBNI DIO'!F14+'POSEBNI DIO'!F98+'POSEBNI DIO'!F100+'POSEBNI DIO'!F102+'POSEBNI DIO'!F104</f>
        <v>100</v>
      </c>
      <c r="F27" s="42">
        <f>'POSEBNI DIO'!G14+'POSEBNI DIO'!G98+'POSEBNI DIO'!G100+'POSEBNI DIO'!G102+'POSEBNI DIO'!G104</f>
        <v>60</v>
      </c>
      <c r="G27" s="42">
        <f>'POSEBNI DIO'!H14+'POSEBNI DIO'!H98+'POSEBNI DIO'!H100+'POSEBNI DIO'!H102+'POSEBNI DIO'!H104</f>
        <v>69</v>
      </c>
      <c r="H27" s="42">
        <f>'POSEBNI DIO'!I14+'POSEBNI DIO'!I98+'POSEBNI DIO'!I100+'POSEBNI DIO'!I102+'POSEBNI DIO'!I104</f>
        <v>69</v>
      </c>
      <c r="I27" s="42">
        <f>'POSEBNI DIO'!J14+'POSEBNI DIO'!J98+'POSEBNI DIO'!J100+'POSEBNI DIO'!J102+'POSEBNI DIO'!J104</f>
        <v>69</v>
      </c>
    </row>
    <row r="28" spans="1:14" ht="38.25" x14ac:dyDescent="0.25">
      <c r="A28" s="29"/>
      <c r="B28" s="29">
        <v>37</v>
      </c>
      <c r="C28" s="30" t="s">
        <v>34</v>
      </c>
      <c r="D28" s="42">
        <v>119102.37</v>
      </c>
      <c r="E28" s="42">
        <f>'POSEBNI DIO'!F69+'POSEBNI DIO'!F72+'POSEBNI DIO'!F76+'POSEBNI DIO'!F86+'POSEBNI DIO'!F91+'POSEBNI DIO'!F131+'POSEBNI DIO'!F140</f>
        <v>151000</v>
      </c>
      <c r="F28" s="42">
        <f>'POSEBNI DIO'!G69+'POSEBNI DIO'!G72+'POSEBNI DIO'!G76+'POSEBNI DIO'!G86+'POSEBNI DIO'!G91+'POSEBNI DIO'!G131+'POSEBNI DIO'!G140</f>
        <v>145950</v>
      </c>
      <c r="G28" s="42">
        <f>'POSEBNI DIO'!H69+'POSEBNI DIO'!H72+'POSEBNI DIO'!H76+'POSEBNI DIO'!H86+'POSEBNI DIO'!H91+'POSEBNI DIO'!H131+'POSEBNI DIO'!H140</f>
        <v>145700</v>
      </c>
      <c r="H28" s="42">
        <f>'POSEBNI DIO'!I69+'POSEBNI DIO'!I72+'POSEBNI DIO'!I76+'POSEBNI DIO'!I86+'POSEBNI DIO'!I91+'POSEBNI DIO'!I131+'POSEBNI DIO'!I140</f>
        <v>145700</v>
      </c>
      <c r="I28" s="42">
        <f>'POSEBNI DIO'!J69+'POSEBNI DIO'!J72+'POSEBNI DIO'!J76+'POSEBNI DIO'!J86+'POSEBNI DIO'!J91+'POSEBNI DIO'!J131+'POSEBNI DIO'!J140</f>
        <v>145700</v>
      </c>
    </row>
    <row r="29" spans="1:14" ht="25.5" x14ac:dyDescent="0.25">
      <c r="A29" s="29"/>
      <c r="B29" s="29">
        <v>38</v>
      </c>
      <c r="C29" s="30" t="s">
        <v>117</v>
      </c>
      <c r="D29" s="42">
        <v>2423.94</v>
      </c>
      <c r="E29" s="42">
        <f>'POSEBNI DIO'!F87</f>
        <v>2218.5</v>
      </c>
      <c r="F29" s="42">
        <f>'POSEBNI DIO'!G87</f>
        <v>2300</v>
      </c>
      <c r="G29" s="42">
        <f>'POSEBNI DIO'!H87</f>
        <v>2300</v>
      </c>
      <c r="H29" s="42">
        <f>'POSEBNI DIO'!I87</f>
        <v>2300</v>
      </c>
      <c r="I29" s="42">
        <f>'POSEBNI DIO'!J87</f>
        <v>2300</v>
      </c>
    </row>
    <row r="30" spans="1:14" ht="25.5" x14ac:dyDescent="0.25">
      <c r="A30" s="83">
        <v>4</v>
      </c>
      <c r="B30" s="84"/>
      <c r="C30" s="85" t="s">
        <v>15</v>
      </c>
      <c r="D30" s="105">
        <f>D31+D32</f>
        <v>135722.18</v>
      </c>
      <c r="E30" s="105">
        <f t="shared" ref="E30:I30" si="17">E31+E32</f>
        <v>195690.66999999998</v>
      </c>
      <c r="F30" s="105">
        <f t="shared" si="17"/>
        <v>182800</v>
      </c>
      <c r="G30" s="105">
        <f t="shared" ref="G30" si="18">G31+G32</f>
        <v>204701</v>
      </c>
      <c r="H30" s="105">
        <f t="shared" ref="H30" si="19">H31+H32</f>
        <v>197301</v>
      </c>
      <c r="I30" s="105">
        <f t="shared" si="17"/>
        <v>157301</v>
      </c>
    </row>
    <row r="31" spans="1:14" ht="38.25" x14ac:dyDescent="0.25">
      <c r="A31" s="28"/>
      <c r="B31" s="28">
        <v>42</v>
      </c>
      <c r="C31" s="31" t="s">
        <v>29</v>
      </c>
      <c r="D31" s="42">
        <v>76869.679999999993</v>
      </c>
      <c r="E31" s="42">
        <f>'POSEBNI DIO'!F18+'POSEBNI DIO'!F30+'POSEBNI DIO'!F107+'POSEBNI DIO'!F109+'POSEBNI DIO'!F111+'POSEBNI DIO'!F113+'POSEBNI DIO'!F115+'POSEBNI DIO'!F117+'POSEBNI DIO'!F119+'POSEBNI DIO'!F121+'POSEBNI DIO'!F123+'POSEBNI DIO'!F125+'POSEBNI DIO'!F146</f>
        <v>70490.67</v>
      </c>
      <c r="F31" s="42">
        <f>'POSEBNI DIO'!G18+'POSEBNI DIO'!G30+'POSEBNI DIO'!G107+'POSEBNI DIO'!G109+'POSEBNI DIO'!G111+'POSEBNI DIO'!G113+'POSEBNI DIO'!G115+'POSEBNI DIO'!G117+'POSEBNI DIO'!G119+'POSEBNI DIO'!G121+'POSEBNI DIO'!G123+'POSEBNI DIO'!G125+'POSEBNI DIO'!G146</f>
        <v>102800</v>
      </c>
      <c r="G31" s="42">
        <f>'POSEBNI DIO'!H18+'POSEBNI DIO'!H30+'POSEBNI DIO'!H107+'POSEBNI DIO'!H109+'POSEBNI DIO'!H111+'POSEBNI DIO'!H113+'POSEBNI DIO'!H115+'POSEBNI DIO'!H117+'POSEBNI DIO'!H119+'POSEBNI DIO'!H121+'POSEBNI DIO'!H123+'POSEBNI DIO'!H125+'POSEBNI DIO'!H146</f>
        <v>131480</v>
      </c>
      <c r="H31" s="42">
        <f>'POSEBNI DIO'!I18+'POSEBNI DIO'!I30+'POSEBNI DIO'!I107+'POSEBNI DIO'!I109+'POSEBNI DIO'!I111+'POSEBNI DIO'!I113+'POSEBNI DIO'!I115+'POSEBNI DIO'!I117+'POSEBNI DIO'!I119+'POSEBNI DIO'!I121+'POSEBNI DIO'!I123+'POSEBNI DIO'!I125+'POSEBNI DIO'!I146</f>
        <v>124080</v>
      </c>
      <c r="I31" s="42">
        <f>'POSEBNI DIO'!J18+'POSEBNI DIO'!J30+'POSEBNI DIO'!J107+'POSEBNI DIO'!J109+'POSEBNI DIO'!J111+'POSEBNI DIO'!J113+'POSEBNI DIO'!J115+'POSEBNI DIO'!J117+'POSEBNI DIO'!J119+'POSEBNI DIO'!J121+'POSEBNI DIO'!J123+'POSEBNI DIO'!J125+'POSEBNI DIO'!J146</f>
        <v>84080</v>
      </c>
    </row>
    <row r="32" spans="1:14" ht="25.5" x14ac:dyDescent="0.25">
      <c r="A32" s="28"/>
      <c r="B32" s="28">
        <v>45</v>
      </c>
      <c r="C32" s="31" t="s">
        <v>35</v>
      </c>
      <c r="D32" s="42">
        <v>58852.5</v>
      </c>
      <c r="E32" s="42">
        <f>'POSEBNI DIO'!F22+'POSEBNI DIO'!F34</f>
        <v>125200</v>
      </c>
      <c r="F32" s="42">
        <f>'POSEBNI DIO'!G22+'POSEBNI DIO'!G34</f>
        <v>80000</v>
      </c>
      <c r="G32" s="42">
        <f>'POSEBNI DIO'!H22+'POSEBNI DIO'!H34</f>
        <v>73221</v>
      </c>
      <c r="H32" s="42">
        <f>'POSEBNI DIO'!I22+'POSEBNI DIO'!I34</f>
        <v>73221</v>
      </c>
      <c r="I32" s="42">
        <f>'POSEBNI DIO'!J22+'POSEBNI DIO'!J34</f>
        <v>73221</v>
      </c>
    </row>
  </sheetData>
  <mergeCells count="5">
    <mergeCell ref="A3:I3"/>
    <mergeCell ref="A5:I5"/>
    <mergeCell ref="A7:I7"/>
    <mergeCell ref="A20:I20"/>
    <mergeCell ref="A1:I1"/>
  </mergeCells>
  <pageMargins left="0.7" right="0.7" top="0.75" bottom="0.75" header="0.3" footer="0.3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9"/>
  <sheetViews>
    <sheetView zoomScale="120" zoomScaleNormal="120" workbookViewId="0">
      <selection activeCell="G24" sqref="G24"/>
    </sheetView>
  </sheetViews>
  <sheetFormatPr defaultRowHeight="15" x14ac:dyDescent="0.25"/>
  <cols>
    <col min="1" max="1" width="5" customWidth="1"/>
    <col min="2" max="2" width="5.7109375" customWidth="1"/>
    <col min="3" max="3" width="28.7109375" customWidth="1"/>
    <col min="4" max="4" width="21.85546875" customWidth="1"/>
    <col min="5" max="5" width="19.5703125" customWidth="1"/>
    <col min="6" max="6" width="18.85546875" customWidth="1"/>
    <col min="7" max="8" width="19.85546875" customWidth="1"/>
    <col min="9" max="9" width="20.42578125" customWidth="1"/>
  </cols>
  <sheetData>
    <row r="1" spans="1:12" ht="42" customHeight="1" x14ac:dyDescent="0.25">
      <c r="A1" s="138" t="s">
        <v>189</v>
      </c>
      <c r="B1" s="138"/>
      <c r="C1" s="138"/>
      <c r="D1" s="138"/>
      <c r="E1" s="138"/>
      <c r="F1" s="138"/>
      <c r="G1" s="138"/>
      <c r="H1" s="138"/>
      <c r="I1" s="138"/>
      <c r="J1" s="126"/>
      <c r="K1" s="126"/>
      <c r="L1" s="126"/>
    </row>
    <row r="2" spans="1:12" ht="18" customHeight="1" x14ac:dyDescent="0.25">
      <c r="A2" s="18"/>
      <c r="B2" s="18"/>
      <c r="C2" s="18"/>
      <c r="D2" s="18"/>
      <c r="E2" s="18"/>
      <c r="F2" s="18"/>
      <c r="G2" s="18"/>
      <c r="H2" s="18"/>
      <c r="I2" s="18"/>
    </row>
    <row r="3" spans="1:12" ht="15.75" x14ac:dyDescent="0.25">
      <c r="A3" s="138" t="s">
        <v>20</v>
      </c>
      <c r="B3" s="138"/>
      <c r="C3" s="138"/>
      <c r="D3" s="138"/>
      <c r="E3" s="138"/>
      <c r="F3" s="151"/>
      <c r="G3" s="151"/>
      <c r="H3" s="151"/>
      <c r="I3" s="151"/>
    </row>
    <row r="4" spans="1:12" ht="18" x14ac:dyDescent="0.25">
      <c r="A4" s="18"/>
      <c r="B4" s="18"/>
      <c r="C4" s="18"/>
      <c r="D4" s="18"/>
      <c r="E4" s="18"/>
      <c r="F4" s="5"/>
      <c r="G4" s="5"/>
      <c r="H4" s="5"/>
      <c r="I4" s="5"/>
    </row>
    <row r="5" spans="1:12" ht="18" customHeight="1" x14ac:dyDescent="0.25">
      <c r="A5" s="138" t="s">
        <v>121</v>
      </c>
      <c r="B5" s="139"/>
      <c r="C5" s="139"/>
      <c r="D5" s="139"/>
      <c r="E5" s="139"/>
      <c r="F5" s="139"/>
      <c r="G5" s="139"/>
      <c r="H5" s="139"/>
      <c r="I5" s="139"/>
    </row>
    <row r="6" spans="1:12" ht="18" x14ac:dyDescent="0.25">
      <c r="A6" s="18"/>
      <c r="B6" s="18"/>
      <c r="C6" s="18"/>
      <c r="D6" s="18"/>
      <c r="E6" s="18"/>
      <c r="F6" s="5"/>
      <c r="G6" s="5"/>
      <c r="H6" s="5"/>
      <c r="I6" s="5"/>
    </row>
    <row r="7" spans="1:12" ht="15.75" x14ac:dyDescent="0.25">
      <c r="A7" s="138" t="s">
        <v>122</v>
      </c>
      <c r="B7" s="157"/>
      <c r="C7" s="157"/>
      <c r="D7" s="157"/>
      <c r="E7" s="157"/>
      <c r="F7" s="157"/>
      <c r="G7" s="157"/>
      <c r="H7" s="157"/>
      <c r="I7" s="157"/>
    </row>
    <row r="8" spans="1:12" ht="18" x14ac:dyDescent="0.25">
      <c r="A8" s="18"/>
      <c r="B8" s="18"/>
      <c r="C8" s="18"/>
      <c r="D8" s="45"/>
      <c r="E8" s="45"/>
      <c r="F8" s="45"/>
      <c r="G8" s="45"/>
      <c r="H8" s="45"/>
      <c r="I8" s="45"/>
      <c r="J8" s="34"/>
    </row>
    <row r="9" spans="1:12" ht="25.5" x14ac:dyDescent="0.25">
      <c r="A9" s="161" t="s">
        <v>115</v>
      </c>
      <c r="B9" s="162"/>
      <c r="C9" s="163"/>
      <c r="D9" s="14" t="s">
        <v>160</v>
      </c>
      <c r="E9" s="14" t="s">
        <v>167</v>
      </c>
      <c r="F9" s="14" t="s">
        <v>164</v>
      </c>
      <c r="G9" s="14" t="s">
        <v>191</v>
      </c>
      <c r="H9" s="14" t="s">
        <v>133</v>
      </c>
      <c r="I9" s="14" t="s">
        <v>162</v>
      </c>
    </row>
    <row r="10" spans="1:12" s="113" customFormat="1" ht="25.5" customHeight="1" x14ac:dyDescent="0.25">
      <c r="A10" s="173" t="s">
        <v>0</v>
      </c>
      <c r="B10" s="174"/>
      <c r="C10" s="175"/>
      <c r="D10" s="114">
        <f>SUM(D11:D18)</f>
        <v>4204660.03</v>
      </c>
      <c r="E10" s="114">
        <f t="shared" ref="E10:I10" si="0">SUM(E11:E18)</f>
        <v>5120808.8599999994</v>
      </c>
      <c r="F10" s="114">
        <f t="shared" si="0"/>
        <v>5157003</v>
      </c>
      <c r="G10" s="114">
        <f t="shared" ref="G10" si="1">SUM(G11:G18)</f>
        <v>5323223.62</v>
      </c>
      <c r="H10" s="114">
        <f t="shared" ref="H10" si="2">SUM(H11:H18)</f>
        <v>4970869.49</v>
      </c>
      <c r="I10" s="114">
        <f t="shared" si="0"/>
        <v>4930869.49</v>
      </c>
    </row>
    <row r="11" spans="1:12" x14ac:dyDescent="0.25">
      <c r="A11" s="167" t="s">
        <v>123</v>
      </c>
      <c r="B11" s="168"/>
      <c r="C11" s="169"/>
      <c r="D11" s="39">
        <v>607107.69999999995</v>
      </c>
      <c r="E11" s="39">
        <f>572963.44+85000+27183.37</f>
        <v>685146.80999999994</v>
      </c>
      <c r="F11" s="39">
        <f>652418+133200</f>
        <v>785618</v>
      </c>
      <c r="G11" s="39">
        <f>779009+46170.51</f>
        <v>825179.51</v>
      </c>
      <c r="H11" s="39">
        <v>777009</v>
      </c>
      <c r="I11" s="39">
        <v>737009</v>
      </c>
    </row>
    <row r="12" spans="1:12" x14ac:dyDescent="0.25">
      <c r="A12" s="167" t="s">
        <v>124</v>
      </c>
      <c r="B12" s="168"/>
      <c r="C12" s="169"/>
      <c r="D12" s="39">
        <v>4923.24</v>
      </c>
      <c r="E12" s="39">
        <f>800+4165+90</f>
        <v>5055</v>
      </c>
      <c r="F12" s="39">
        <v>5390</v>
      </c>
      <c r="G12" s="39">
        <v>5850</v>
      </c>
      <c r="H12" s="39">
        <v>5850</v>
      </c>
      <c r="I12" s="39">
        <v>5850</v>
      </c>
    </row>
    <row r="13" spans="1:12" ht="30" customHeight="1" x14ac:dyDescent="0.25">
      <c r="A13" s="158" t="s">
        <v>170</v>
      </c>
      <c r="B13" s="159"/>
      <c r="C13" s="160"/>
      <c r="D13" s="39">
        <v>82950.42</v>
      </c>
      <c r="E13" s="39">
        <f>91450</f>
        <v>91450</v>
      </c>
      <c r="F13" s="39">
        <v>91450</v>
      </c>
      <c r="G13" s="39">
        <v>100450</v>
      </c>
      <c r="H13" s="39">
        <v>100450</v>
      </c>
      <c r="I13" s="39">
        <v>100450</v>
      </c>
    </row>
    <row r="14" spans="1:12" ht="30" customHeight="1" x14ac:dyDescent="0.25">
      <c r="A14" s="158" t="s">
        <v>171</v>
      </c>
      <c r="B14" s="159"/>
      <c r="C14" s="160"/>
      <c r="D14" s="39"/>
      <c r="E14" s="39">
        <f>21017.49+45200+11800+1600+78.08</f>
        <v>79695.570000000007</v>
      </c>
      <c r="F14" s="39">
        <v>64655</v>
      </c>
      <c r="G14" s="39"/>
      <c r="H14" s="39"/>
      <c r="I14" s="39"/>
    </row>
    <row r="15" spans="1:12" x14ac:dyDescent="0.25">
      <c r="A15" s="167" t="s">
        <v>134</v>
      </c>
      <c r="B15" s="168"/>
      <c r="C15" s="169"/>
      <c r="D15" s="39"/>
      <c r="E15" s="39"/>
      <c r="F15" s="39"/>
      <c r="G15" s="39"/>
      <c r="H15" s="39"/>
      <c r="I15" s="39"/>
    </row>
    <row r="16" spans="1:12" x14ac:dyDescent="0.25">
      <c r="A16" s="167" t="s">
        <v>174</v>
      </c>
      <c r="B16" s="168"/>
      <c r="C16" s="169"/>
      <c r="D16" s="39">
        <v>79807</v>
      </c>
      <c r="E16" s="39">
        <f>1188+12100+119099.07+1561.4</f>
        <v>133948.47</v>
      </c>
      <c r="F16" s="39">
        <v>143150</v>
      </c>
      <c r="G16" s="39">
        <v>165690</v>
      </c>
      <c r="H16" s="39">
        <v>165690</v>
      </c>
      <c r="I16" s="39">
        <v>165690</v>
      </c>
    </row>
    <row r="17" spans="1:10" ht="30" customHeight="1" x14ac:dyDescent="0.25">
      <c r="A17" s="158" t="s">
        <v>172</v>
      </c>
      <c r="B17" s="159"/>
      <c r="C17" s="160"/>
      <c r="D17" s="39">
        <v>3423087.92</v>
      </c>
      <c r="E17" s="39">
        <f>4073455.23+31827.23+18880.55</f>
        <v>4124163.01</v>
      </c>
      <c r="F17" s="39">
        <f>3787690+277700</f>
        <v>4065390</v>
      </c>
      <c r="G17" s="39">
        <f>3921520.49+304183.62</f>
        <v>4225704.1100000003</v>
      </c>
      <c r="H17" s="39">
        <v>3921520.49</v>
      </c>
      <c r="I17" s="39">
        <v>3921520.49</v>
      </c>
    </row>
    <row r="18" spans="1:10" x14ac:dyDescent="0.25">
      <c r="A18" s="167" t="s">
        <v>173</v>
      </c>
      <c r="B18" s="168"/>
      <c r="C18" s="169"/>
      <c r="D18" s="39">
        <v>6783.75</v>
      </c>
      <c r="E18" s="39">
        <f>850+500</f>
        <v>1350</v>
      </c>
      <c r="F18" s="39">
        <v>1350</v>
      </c>
      <c r="G18" s="39">
        <v>350</v>
      </c>
      <c r="H18" s="39">
        <v>350</v>
      </c>
      <c r="I18" s="39">
        <v>350</v>
      </c>
    </row>
    <row r="21" spans="1:10" ht="15.75" x14ac:dyDescent="0.25">
      <c r="A21" s="138" t="s">
        <v>126</v>
      </c>
      <c r="B21" s="157"/>
      <c r="C21" s="157"/>
      <c r="D21" s="157"/>
      <c r="E21" s="157"/>
      <c r="F21" s="157"/>
      <c r="G21" s="157"/>
      <c r="H21" s="157"/>
      <c r="I21" s="157"/>
    </row>
    <row r="22" spans="1:10" ht="18" x14ac:dyDescent="0.25">
      <c r="A22" s="18"/>
      <c r="B22" s="18"/>
      <c r="C22" s="18"/>
      <c r="D22" s="45"/>
      <c r="E22" s="45"/>
      <c r="F22" s="45"/>
      <c r="G22" s="45"/>
      <c r="H22" s="45"/>
      <c r="I22" s="45"/>
      <c r="J22" s="34"/>
    </row>
    <row r="23" spans="1:10" ht="25.5" x14ac:dyDescent="0.25">
      <c r="A23" s="161" t="s">
        <v>115</v>
      </c>
      <c r="B23" s="162"/>
      <c r="C23" s="163"/>
      <c r="D23" s="14" t="s">
        <v>160</v>
      </c>
      <c r="E23" s="14" t="s">
        <v>167</v>
      </c>
      <c r="F23" s="14" t="s">
        <v>164</v>
      </c>
      <c r="G23" s="14" t="s">
        <v>191</v>
      </c>
      <c r="H23" s="14" t="s">
        <v>133</v>
      </c>
      <c r="I23" s="14" t="s">
        <v>162</v>
      </c>
    </row>
    <row r="24" spans="1:10" ht="15.75" customHeight="1" x14ac:dyDescent="0.25">
      <c r="A24" s="164" t="s">
        <v>1</v>
      </c>
      <c r="B24" s="165"/>
      <c r="C24" s="166"/>
      <c r="D24" s="44">
        <f>SUM(D25:D38)</f>
        <v>4243900.2</v>
      </c>
      <c r="E24" s="44">
        <f t="shared" ref="E24:I24" si="3">SUM(E25:E38)</f>
        <v>5095713.87</v>
      </c>
      <c r="F24" s="44">
        <f t="shared" si="3"/>
        <v>4763203</v>
      </c>
      <c r="G24" s="44">
        <f t="shared" ref="G24" si="4">SUM(G25:G38)</f>
        <v>4991274.49</v>
      </c>
      <c r="H24" s="44">
        <f t="shared" ref="H24" si="5">SUM(H25:H38)</f>
        <v>4970869.49</v>
      </c>
      <c r="I24" s="44">
        <f t="shared" si="3"/>
        <v>4930869.49</v>
      </c>
    </row>
    <row r="25" spans="1:10" s="112" customFormat="1" ht="15.75" customHeight="1" x14ac:dyDescent="0.25">
      <c r="A25" s="167" t="s">
        <v>123</v>
      </c>
      <c r="B25" s="168"/>
      <c r="C25" s="169"/>
      <c r="D25" s="43">
        <v>620996.79</v>
      </c>
      <c r="E25" s="43">
        <f>'POSEBNI DIO'!F8+'POSEBNI DIO'!F12+'POSEBNI DIO'!F24+'POSEBNI DIO'!F28+'POSEBNI DIO'!F32+'POSEBNI DIO'!F128+'POSEBNI DIO'!F133+'POSEBNI DIO'!F138+'POSEBNI DIO'!F142+'POSEBNI DIO'!F157+'POSEBNI DIO'!F162</f>
        <v>657963.43999999994</v>
      </c>
      <c r="F25" s="43">
        <f>'POSEBNI DIO'!G8+'POSEBNI DIO'!G12+'POSEBNI DIO'!G16+'POSEBNI DIO'!G24+'POSEBNI DIO'!G28+'POSEBNI DIO'!G32+'POSEBNI DIO'!G128+'POSEBNI DIO'!G133+'POSEBNI DIO'!G138+'POSEBNI DIO'!G142+'POSEBNI DIO'!G157+'POSEBNI DIO'!G162</f>
        <v>652418</v>
      </c>
      <c r="G25" s="43">
        <f>'POSEBNI DIO'!H8+'POSEBNI DIO'!H12+'POSEBNI DIO'!H16+'POSEBNI DIO'!H20+'POSEBNI DIO'!H24+'POSEBNI DIO'!H28+'POSEBNI DIO'!H32+'POSEBNI DIO'!H128+'POSEBNI DIO'!H133+'POSEBNI DIO'!H138+'POSEBNI DIO'!H142+'POSEBNI DIO'!H157+'POSEBNI DIO'!H162</f>
        <v>779009</v>
      </c>
      <c r="H25" s="43">
        <f>'POSEBNI DIO'!I8+'POSEBNI DIO'!I12+'POSEBNI DIO'!I16+'POSEBNI DIO'!I20+'POSEBNI DIO'!I24+'POSEBNI DIO'!I28+'POSEBNI DIO'!I32+'POSEBNI DIO'!I128+'POSEBNI DIO'!I133+'POSEBNI DIO'!I138+'POSEBNI DIO'!I142+'POSEBNI DIO'!I157+'POSEBNI DIO'!I162</f>
        <v>777009</v>
      </c>
      <c r="I25" s="43">
        <f>'POSEBNI DIO'!J8+'POSEBNI DIO'!J12+'POSEBNI DIO'!J16+'POSEBNI DIO'!J20+'POSEBNI DIO'!J24+'POSEBNI DIO'!J28+'POSEBNI DIO'!J32+'POSEBNI DIO'!J128+'POSEBNI DIO'!J133+'POSEBNI DIO'!J138+'POSEBNI DIO'!J142+'POSEBNI DIO'!J157+'POSEBNI DIO'!J162</f>
        <v>737009</v>
      </c>
    </row>
    <row r="26" spans="1:10" s="113" customFormat="1" x14ac:dyDescent="0.25">
      <c r="A26" s="167" t="s">
        <v>124</v>
      </c>
      <c r="B26" s="168"/>
      <c r="C26" s="169"/>
      <c r="D26" s="39">
        <v>751.25</v>
      </c>
      <c r="E26" s="39">
        <v>5055</v>
      </c>
      <c r="F26" s="39">
        <f>'POSEBNI DIO'!G66+'POSEBNI DIO'!G97+'POSEBNI DIO'!G106</f>
        <v>5390</v>
      </c>
      <c r="G26" s="39">
        <f>'POSEBNI DIO'!H66+'POSEBNI DIO'!H97+'POSEBNI DIO'!H106</f>
        <v>5850</v>
      </c>
      <c r="H26" s="39">
        <f>'POSEBNI DIO'!I66+'POSEBNI DIO'!I97+'POSEBNI DIO'!I106</f>
        <v>5850</v>
      </c>
      <c r="I26" s="39">
        <f>'POSEBNI DIO'!J66+'POSEBNI DIO'!J97+'POSEBNI DIO'!J106</f>
        <v>5850</v>
      </c>
    </row>
    <row r="27" spans="1:10" s="113" customFormat="1" x14ac:dyDescent="0.25">
      <c r="A27" s="167" t="s">
        <v>127</v>
      </c>
      <c r="B27" s="168"/>
      <c r="C27" s="169"/>
      <c r="D27" s="39">
        <v>3109.19</v>
      </c>
      <c r="E27" s="39">
        <v>4171.99</v>
      </c>
      <c r="F27" s="43">
        <f>'POSEBNI DIO'!G39+'POSEBNI DIO'!G70+'POSEBNI DIO'!G99+'POSEBNI DIO'!G108</f>
        <v>3800</v>
      </c>
      <c r="G27" s="43">
        <f>'POSEBNI DIO'!H39+'POSEBNI DIO'!H70+'POSEBNI DIO'!H99+'POSEBNI DIO'!H108</f>
        <v>5371.08</v>
      </c>
      <c r="H27" s="43">
        <f>'POSEBNI DIO'!I39+'POSEBNI DIO'!I70+'POSEBNI DIO'!I99+'POSEBNI DIO'!I108</f>
        <v>0</v>
      </c>
      <c r="I27" s="43">
        <f>'POSEBNI DIO'!J39+'POSEBNI DIO'!J70+'POSEBNI DIO'!J99+'POSEBNI DIO'!J108</f>
        <v>0</v>
      </c>
    </row>
    <row r="28" spans="1:10" s="113" customFormat="1" ht="29.45" customHeight="1" x14ac:dyDescent="0.25">
      <c r="A28" s="158" t="s">
        <v>170</v>
      </c>
      <c r="B28" s="159"/>
      <c r="C28" s="160"/>
      <c r="D28" s="39">
        <v>71546.11</v>
      </c>
      <c r="E28" s="39">
        <v>91450</v>
      </c>
      <c r="F28" s="39">
        <f>'POSEBNI DIO'!G42+'POSEBNI DIO'!G73+'POSEBNI DIO'!G101+'POSEBNI DIO'!G110</f>
        <v>91450</v>
      </c>
      <c r="G28" s="39">
        <f>'POSEBNI DIO'!H42+'POSEBNI DIO'!H73+'POSEBNI DIO'!H101+'POSEBNI DIO'!H110</f>
        <v>100450</v>
      </c>
      <c r="H28" s="39">
        <f>'POSEBNI DIO'!I42+'POSEBNI DIO'!I73+'POSEBNI DIO'!I101+'POSEBNI DIO'!I110</f>
        <v>100450</v>
      </c>
      <c r="I28" s="39">
        <f>'POSEBNI DIO'!J42+'POSEBNI DIO'!J73+'POSEBNI DIO'!J101+'POSEBNI DIO'!J110</f>
        <v>100450</v>
      </c>
    </row>
    <row r="29" spans="1:10" s="113" customFormat="1" x14ac:dyDescent="0.25">
      <c r="A29" s="170" t="s">
        <v>128</v>
      </c>
      <c r="B29" s="171"/>
      <c r="C29" s="172"/>
      <c r="D29" s="39">
        <v>5805.83</v>
      </c>
      <c r="E29" s="39">
        <v>11404.31</v>
      </c>
      <c r="F29" s="43">
        <f>'POSEBNI DIO'!G77+'POSEBNI DIO'!G103+'POSEBNI DIO'!G112</f>
        <v>10000</v>
      </c>
      <c r="G29" s="43">
        <f>'POSEBNI DIO'!H77+'POSEBNI DIO'!H103+'POSEBNI DIO'!H112</f>
        <v>8461.4399999999987</v>
      </c>
      <c r="H29" s="43">
        <f>'POSEBNI DIO'!I77+'POSEBNI DIO'!I103+'POSEBNI DIO'!I112</f>
        <v>0</v>
      </c>
      <c r="I29" s="43">
        <f>'POSEBNI DIO'!J77+'POSEBNI DIO'!J103+'POSEBNI DIO'!J112</f>
        <v>0</v>
      </c>
    </row>
    <row r="30" spans="1:10" s="113" customFormat="1" ht="29.45" customHeight="1" x14ac:dyDescent="0.25">
      <c r="A30" s="158" t="s">
        <v>171</v>
      </c>
      <c r="B30" s="159"/>
      <c r="C30" s="160"/>
      <c r="D30" s="39"/>
      <c r="E30" s="39">
        <v>79617.490000000005</v>
      </c>
      <c r="F30" s="39">
        <f>'POSEBNI DIO'!G20+'POSEBNI DIO'!G147+'POSEBNI DIO'!G166</f>
        <v>64655</v>
      </c>
      <c r="G30" s="43"/>
      <c r="H30" s="39"/>
      <c r="I30" s="39"/>
    </row>
    <row r="31" spans="1:10" s="113" customFormat="1" x14ac:dyDescent="0.25">
      <c r="A31" s="167" t="s">
        <v>134</v>
      </c>
      <c r="B31" s="168"/>
      <c r="C31" s="169"/>
      <c r="D31" s="39"/>
      <c r="E31" s="39"/>
      <c r="F31" s="43"/>
      <c r="G31" s="43"/>
      <c r="H31" s="43"/>
      <c r="I31" s="43"/>
    </row>
    <row r="32" spans="1:10" s="113" customFormat="1" x14ac:dyDescent="0.25">
      <c r="A32" s="167" t="s">
        <v>129</v>
      </c>
      <c r="B32" s="168"/>
      <c r="C32" s="169"/>
      <c r="D32" s="39">
        <v>17353.7</v>
      </c>
      <c r="E32" s="39"/>
      <c r="F32" s="43"/>
      <c r="G32" s="43"/>
      <c r="H32" s="43"/>
      <c r="I32" s="43"/>
    </row>
    <row r="33" spans="1:10" s="113" customFormat="1" x14ac:dyDescent="0.25">
      <c r="A33" s="167" t="s">
        <v>174</v>
      </c>
      <c r="B33" s="168"/>
      <c r="C33" s="169"/>
      <c r="D33" s="39">
        <v>74864.98</v>
      </c>
      <c r="E33" s="39">
        <v>132387.07</v>
      </c>
      <c r="F33" s="39">
        <f>'POSEBNI DIO'!G36+'POSEBNI DIO'!G79+'POSEBNI DIO'!G118+'POSEBNI DIO'!G153+'POSEBNI DIO'!G170</f>
        <v>143150</v>
      </c>
      <c r="G33" s="39">
        <f>'POSEBNI DIO'!H36+'POSEBNI DIO'!H79+'POSEBNI DIO'!H118+'POSEBNI DIO'!H153+'POSEBNI DIO'!H170</f>
        <v>165690</v>
      </c>
      <c r="H33" s="39">
        <f>'POSEBNI DIO'!I36+'POSEBNI DIO'!I79+'POSEBNI DIO'!I118+'POSEBNI DIO'!I153+'POSEBNI DIO'!I170</f>
        <v>165690</v>
      </c>
      <c r="I33" s="39">
        <f>'POSEBNI DIO'!J36+'POSEBNI DIO'!J79+'POSEBNI DIO'!J118+'POSEBNI DIO'!J153+'POSEBNI DIO'!J170</f>
        <v>165690</v>
      </c>
    </row>
    <row r="34" spans="1:10" s="113" customFormat="1" x14ac:dyDescent="0.25">
      <c r="A34" s="167" t="s">
        <v>130</v>
      </c>
      <c r="B34" s="168"/>
      <c r="C34" s="169"/>
      <c r="D34" s="39">
        <v>4718.59</v>
      </c>
      <c r="E34" s="39">
        <v>1134.77</v>
      </c>
      <c r="F34" s="43">
        <f>'POSEBNI DIO'!G81+'POSEBNI DIO'!G120</f>
        <v>0</v>
      </c>
      <c r="G34" s="43">
        <f>'POSEBNI DIO'!H81+'POSEBNI DIO'!H120</f>
        <v>0</v>
      </c>
      <c r="H34" s="43">
        <f>'POSEBNI DIO'!I81+'POSEBNI DIO'!I120</f>
        <v>0</v>
      </c>
      <c r="I34" s="43">
        <f>'POSEBNI DIO'!J81+'POSEBNI DIO'!J120</f>
        <v>0</v>
      </c>
    </row>
    <row r="35" spans="1:10" s="113" customFormat="1" ht="29.45" customHeight="1" x14ac:dyDescent="0.25">
      <c r="A35" s="158" t="s">
        <v>172</v>
      </c>
      <c r="B35" s="159"/>
      <c r="C35" s="160"/>
      <c r="D35" s="39">
        <v>3436741.97</v>
      </c>
      <c r="E35" s="39">
        <v>4105282.46</v>
      </c>
      <c r="F35" s="39">
        <f>'POSEBNI DIO'!G53+'POSEBNI DIO'!G83+'POSEBNI DIO'!G122+'POSEBNI DIO'!G150</f>
        <v>3787690</v>
      </c>
      <c r="G35" s="43">
        <f>'POSEBNI DIO'!H53+'POSEBNI DIO'!H83+'POSEBNI DIO'!H122+'POSEBNI DIO'!H147+'POSEBNI DIO'!H166</f>
        <v>3921520.49</v>
      </c>
      <c r="H35" s="43">
        <f>'POSEBNI DIO'!I53+'POSEBNI DIO'!I83+'POSEBNI DIO'!I122+'POSEBNI DIO'!I147+'POSEBNI DIO'!I166</f>
        <v>3921520.49</v>
      </c>
      <c r="I35" s="43">
        <f>'POSEBNI DIO'!J53+'POSEBNI DIO'!J83+'POSEBNI DIO'!J122+'POSEBNI DIO'!J147+'POSEBNI DIO'!J166</f>
        <v>3921520.49</v>
      </c>
    </row>
    <row r="36" spans="1:10" s="113" customFormat="1" x14ac:dyDescent="0.25">
      <c r="A36" s="167" t="s">
        <v>135</v>
      </c>
      <c r="B36" s="168"/>
      <c r="C36" s="169"/>
      <c r="D36" s="39">
        <v>1587.95</v>
      </c>
      <c r="E36" s="39">
        <v>5226.5</v>
      </c>
      <c r="F36" s="43">
        <f>'POSEBNI DIO'!G88+'POSEBNI DIO'!G124</f>
        <v>3300</v>
      </c>
      <c r="G36" s="43">
        <f>'POSEBNI DIO'!H88+'POSEBNI DIO'!H124</f>
        <v>4572.4799999999996</v>
      </c>
      <c r="H36" s="43">
        <f>'POSEBNI DIO'!I88+'POSEBNI DIO'!I124</f>
        <v>0</v>
      </c>
      <c r="I36" s="43">
        <f>'POSEBNI DIO'!J88+'POSEBNI DIO'!J124</f>
        <v>0</v>
      </c>
    </row>
    <row r="37" spans="1:10" s="113" customFormat="1" x14ac:dyDescent="0.25">
      <c r="A37" s="167" t="s">
        <v>173</v>
      </c>
      <c r="B37" s="168"/>
      <c r="C37" s="169"/>
      <c r="D37" s="39">
        <v>6112.91</v>
      </c>
      <c r="E37" s="39">
        <v>1350</v>
      </c>
      <c r="F37" s="39">
        <f>'POSEBNI DIO'!G62+'POSEBNI DIO'!G92+'POSEBNI DIO'!G114</f>
        <v>1350</v>
      </c>
      <c r="G37" s="39">
        <f>'POSEBNI DIO'!H62+'POSEBNI DIO'!H92+'POSEBNI DIO'!H114</f>
        <v>350</v>
      </c>
      <c r="H37" s="39">
        <f>'POSEBNI DIO'!I62+'POSEBNI DIO'!I92+'POSEBNI DIO'!I114</f>
        <v>350</v>
      </c>
      <c r="I37" s="39">
        <f>'POSEBNI DIO'!J62+'POSEBNI DIO'!J92+'POSEBNI DIO'!J114</f>
        <v>350</v>
      </c>
    </row>
    <row r="38" spans="1:10" s="113" customFormat="1" x14ac:dyDescent="0.25">
      <c r="A38" s="167" t="s">
        <v>131</v>
      </c>
      <c r="B38" s="168"/>
      <c r="C38" s="169"/>
      <c r="D38" s="39">
        <v>310.93</v>
      </c>
      <c r="E38" s="39">
        <v>670.84</v>
      </c>
      <c r="F38" s="43">
        <f>'POSEBNI DIO'!G94+'POSEBNI DIO'!G116</f>
        <v>0</v>
      </c>
      <c r="G38" s="43">
        <f>'POSEBNI DIO'!H94+'POSEBNI DIO'!H116</f>
        <v>0</v>
      </c>
      <c r="H38" s="43">
        <f>'POSEBNI DIO'!I94+'POSEBNI DIO'!I116</f>
        <v>0</v>
      </c>
      <c r="I38" s="43">
        <f>'POSEBNI DIO'!J94+'POSEBNI DIO'!J116</f>
        <v>0</v>
      </c>
    </row>
    <row r="42" spans="1:10" x14ac:dyDescent="0.25">
      <c r="A42" s="36"/>
      <c r="B42" s="36"/>
      <c r="C42" s="37"/>
      <c r="D42" s="37"/>
      <c r="E42" s="104"/>
      <c r="F42" s="104"/>
      <c r="G42" s="104"/>
      <c r="H42" s="104"/>
      <c r="I42" s="104"/>
      <c r="J42" s="104"/>
    </row>
    <row r="43" spans="1:10" ht="15.75" x14ac:dyDescent="0.25">
      <c r="A43" s="138" t="s">
        <v>132</v>
      </c>
      <c r="B43" s="157"/>
      <c r="C43" s="157"/>
      <c r="D43" s="157"/>
      <c r="E43" s="157"/>
      <c r="F43" s="157"/>
      <c r="G43" s="157"/>
      <c r="H43" s="157"/>
      <c r="I43" s="157"/>
    </row>
    <row r="44" spans="1:10" x14ac:dyDescent="0.25">
      <c r="A44" s="36"/>
      <c r="B44" s="36"/>
      <c r="C44" s="37"/>
      <c r="D44" s="37"/>
      <c r="E44" s="38"/>
      <c r="F44" s="38"/>
      <c r="G44" s="38"/>
      <c r="H44" s="38"/>
      <c r="I44" s="34"/>
    </row>
    <row r="45" spans="1:10" ht="25.5" x14ac:dyDescent="0.25">
      <c r="A45" s="14" t="s">
        <v>8</v>
      </c>
      <c r="B45" s="117" t="s">
        <v>9</v>
      </c>
      <c r="C45" s="117" t="s">
        <v>12</v>
      </c>
      <c r="D45" s="14" t="s">
        <v>160</v>
      </c>
      <c r="E45" s="14" t="s">
        <v>167</v>
      </c>
      <c r="F45" s="14" t="s">
        <v>164</v>
      </c>
      <c r="G45" s="14" t="s">
        <v>191</v>
      </c>
      <c r="H45" s="14" t="s">
        <v>133</v>
      </c>
      <c r="I45" s="14" t="s">
        <v>162</v>
      </c>
    </row>
    <row r="46" spans="1:10" x14ac:dyDescent="0.25">
      <c r="A46" s="32">
        <v>9</v>
      </c>
      <c r="B46" s="32"/>
      <c r="C46" s="32" t="s">
        <v>72</v>
      </c>
      <c r="D46" s="33"/>
      <c r="E46" s="33"/>
      <c r="F46" s="33"/>
      <c r="G46" s="33"/>
      <c r="H46" s="33"/>
      <c r="I46" s="33"/>
    </row>
    <row r="47" spans="1:10" x14ac:dyDescent="0.25">
      <c r="A47" s="27"/>
      <c r="B47" s="28">
        <v>92</v>
      </c>
      <c r="C47" s="28" t="s">
        <v>119</v>
      </c>
      <c r="D47" s="42">
        <f>SUM(D48:D54)</f>
        <v>18741.010000000002</v>
      </c>
      <c r="E47" s="42">
        <f>SUM(E48:E54)</f>
        <v>47703.4</v>
      </c>
      <c r="F47" s="42">
        <f t="shared" ref="F47:I47" si="6">SUM(F48:F54)</f>
        <v>410900</v>
      </c>
      <c r="G47" s="42">
        <f t="shared" ref="G47" si="7">SUM(G48:G54)</f>
        <v>350354.13</v>
      </c>
      <c r="H47" s="42">
        <f t="shared" si="6"/>
        <v>0</v>
      </c>
      <c r="I47" s="42">
        <f t="shared" si="6"/>
        <v>0</v>
      </c>
    </row>
    <row r="48" spans="1:10" x14ac:dyDescent="0.25">
      <c r="A48" s="10"/>
      <c r="B48" s="10"/>
      <c r="C48" s="11" t="s">
        <v>123</v>
      </c>
      <c r="D48" s="39">
        <v>13294.28</v>
      </c>
      <c r="E48" s="39">
        <v>27183.37</v>
      </c>
      <c r="F48" s="39">
        <v>133200</v>
      </c>
      <c r="G48" s="39">
        <v>46170.51</v>
      </c>
      <c r="H48" s="39"/>
      <c r="I48" s="39"/>
    </row>
    <row r="49" spans="1:10" x14ac:dyDescent="0.25">
      <c r="A49" s="10"/>
      <c r="B49" s="10"/>
      <c r="C49" s="11" t="s">
        <v>125</v>
      </c>
      <c r="D49" s="39"/>
      <c r="E49" s="39">
        <v>0</v>
      </c>
      <c r="F49" s="39"/>
      <c r="G49" s="39"/>
      <c r="H49" s="39"/>
      <c r="I49" s="39"/>
    </row>
    <row r="50" spans="1:10" x14ac:dyDescent="0.25">
      <c r="A50" s="10"/>
      <c r="B50" s="10"/>
      <c r="C50" s="11" t="s">
        <v>175</v>
      </c>
      <c r="D50" s="39"/>
      <c r="E50" s="39">
        <v>78.08</v>
      </c>
      <c r="F50" s="39"/>
      <c r="G50" s="39"/>
      <c r="H50" s="39"/>
      <c r="I50" s="39"/>
    </row>
    <row r="51" spans="1:10" x14ac:dyDescent="0.25">
      <c r="A51" s="10"/>
      <c r="B51" s="10"/>
      <c r="C51" s="11" t="s">
        <v>176</v>
      </c>
      <c r="D51" s="39">
        <v>5446.73</v>
      </c>
      <c r="E51" s="39">
        <v>0</v>
      </c>
      <c r="F51" s="39"/>
      <c r="G51" s="39"/>
      <c r="H51" s="39"/>
      <c r="I51" s="39"/>
    </row>
    <row r="52" spans="1:10" x14ac:dyDescent="0.25">
      <c r="A52" s="10"/>
      <c r="B52" s="10"/>
      <c r="C52" s="11" t="s">
        <v>177</v>
      </c>
      <c r="D52" s="39"/>
      <c r="E52" s="39">
        <v>18880.55</v>
      </c>
      <c r="F52" s="39">
        <v>277700</v>
      </c>
      <c r="G52" s="39">
        <v>304183.62</v>
      </c>
      <c r="H52" s="39"/>
      <c r="I52" s="39"/>
    </row>
    <row r="53" spans="1:10" x14ac:dyDescent="0.25">
      <c r="A53" s="10"/>
      <c r="B53" s="10"/>
      <c r="C53" s="11" t="s">
        <v>137</v>
      </c>
      <c r="D53" s="39"/>
      <c r="E53" s="39"/>
      <c r="F53" s="39"/>
      <c r="G53" s="39"/>
      <c r="H53" s="39"/>
      <c r="I53" s="39"/>
    </row>
    <row r="54" spans="1:10" x14ac:dyDescent="0.25">
      <c r="A54" s="10"/>
      <c r="B54" s="10"/>
      <c r="C54" s="11" t="s">
        <v>178</v>
      </c>
      <c r="D54" s="39"/>
      <c r="E54" s="39">
        <v>1561.4</v>
      </c>
      <c r="F54" s="8"/>
      <c r="G54" s="8"/>
      <c r="H54" s="8"/>
      <c r="I54" s="8"/>
    </row>
    <row r="55" spans="1:10" x14ac:dyDescent="0.25">
      <c r="A55" s="36"/>
      <c r="B55" s="36"/>
      <c r="C55" s="37"/>
      <c r="D55" s="37"/>
      <c r="E55" s="104"/>
      <c r="F55" s="104"/>
      <c r="G55" s="104"/>
      <c r="H55" s="104"/>
      <c r="I55" s="104"/>
      <c r="J55" s="104"/>
    </row>
    <row r="56" spans="1:10" x14ac:dyDescent="0.25">
      <c r="A56" s="36"/>
      <c r="B56" s="36"/>
      <c r="C56" s="37"/>
      <c r="D56" s="37"/>
      <c r="E56" s="104"/>
      <c r="F56" s="104"/>
      <c r="G56" s="104"/>
      <c r="H56" s="104"/>
      <c r="I56" s="104"/>
      <c r="J56" s="104"/>
    </row>
    <row r="57" spans="1:10" x14ac:dyDescent="0.25">
      <c r="A57" s="36"/>
      <c r="B57" s="36"/>
      <c r="C57" s="37"/>
      <c r="D57" s="37"/>
      <c r="E57" s="38"/>
      <c r="F57" s="38"/>
      <c r="G57" s="38"/>
      <c r="H57" s="38"/>
      <c r="I57" s="38"/>
      <c r="J57" s="38"/>
    </row>
    <row r="58" spans="1:10" ht="15.75" x14ac:dyDescent="0.25">
      <c r="A58" s="138" t="s">
        <v>75</v>
      </c>
      <c r="B58" s="157"/>
      <c r="C58" s="157"/>
      <c r="D58" s="157"/>
      <c r="E58" s="157"/>
      <c r="F58" s="157"/>
      <c r="G58" s="157"/>
      <c r="H58" s="157"/>
      <c r="I58" s="157"/>
      <c r="J58" s="157"/>
    </row>
    <row r="59" spans="1:10" x14ac:dyDescent="0.25">
      <c r="A59" s="36"/>
      <c r="B59" s="36"/>
      <c r="C59" s="37"/>
      <c r="D59" s="37"/>
      <c r="E59" s="38"/>
      <c r="F59" s="38"/>
      <c r="G59" s="38"/>
      <c r="H59" s="38"/>
      <c r="I59" s="38"/>
      <c r="J59" s="34"/>
    </row>
    <row r="60" spans="1:10" ht="25.5" x14ac:dyDescent="0.25">
      <c r="A60" s="14" t="s">
        <v>8</v>
      </c>
      <c r="B60" s="117" t="s">
        <v>9</v>
      </c>
      <c r="C60" s="117" t="s">
        <v>12</v>
      </c>
      <c r="D60" s="14" t="s">
        <v>160</v>
      </c>
      <c r="E60" s="14" t="s">
        <v>167</v>
      </c>
      <c r="F60" s="14" t="s">
        <v>164</v>
      </c>
      <c r="G60" s="14" t="s">
        <v>191</v>
      </c>
      <c r="H60" s="14" t="s">
        <v>133</v>
      </c>
      <c r="I60" s="14" t="s">
        <v>162</v>
      </c>
    </row>
    <row r="61" spans="1:10" x14ac:dyDescent="0.25">
      <c r="A61" s="32">
        <v>9</v>
      </c>
      <c r="B61" s="32"/>
      <c r="C61" s="32" t="s">
        <v>72</v>
      </c>
      <c r="D61" s="33"/>
      <c r="E61" s="33"/>
      <c r="F61" s="33"/>
      <c r="G61" s="33"/>
      <c r="H61" s="33"/>
      <c r="I61" s="33"/>
    </row>
    <row r="62" spans="1:10" x14ac:dyDescent="0.25">
      <c r="A62" s="27"/>
      <c r="B62" s="28">
        <v>92</v>
      </c>
      <c r="C62" s="28" t="s">
        <v>73</v>
      </c>
      <c r="D62" s="42">
        <f>SUM(D63:D68)</f>
        <v>32886.19</v>
      </c>
      <c r="E62" s="42">
        <f>SUM(E63:E68)</f>
        <v>22608.41</v>
      </c>
      <c r="F62" s="42">
        <f t="shared" ref="F62:I62" si="8">SUM(F63:F68)</f>
        <v>17100</v>
      </c>
      <c r="G62" s="42">
        <f t="shared" ref="G62" si="9">SUM(G63:G68)</f>
        <v>18405</v>
      </c>
      <c r="H62" s="42">
        <f t="shared" si="8"/>
        <v>0</v>
      </c>
      <c r="I62" s="42">
        <f t="shared" si="8"/>
        <v>0</v>
      </c>
    </row>
    <row r="63" spans="1:10" x14ac:dyDescent="0.25">
      <c r="A63" s="10"/>
      <c r="B63" s="10"/>
      <c r="C63" s="11" t="s">
        <v>138</v>
      </c>
      <c r="D63" s="39">
        <v>3109.19</v>
      </c>
      <c r="E63" s="39">
        <v>4171.99</v>
      </c>
      <c r="F63" s="39">
        <v>3800</v>
      </c>
      <c r="G63" s="39">
        <v>5371.08</v>
      </c>
      <c r="H63" s="39"/>
      <c r="I63" s="39"/>
    </row>
    <row r="64" spans="1:10" x14ac:dyDescent="0.25">
      <c r="A64" s="10"/>
      <c r="B64" s="10"/>
      <c r="C64" s="11" t="s">
        <v>139</v>
      </c>
      <c r="D64" s="39">
        <v>5805.83</v>
      </c>
      <c r="E64" s="39">
        <v>11404.31</v>
      </c>
      <c r="F64" s="39">
        <v>10000</v>
      </c>
      <c r="G64" s="39">
        <v>8461.44</v>
      </c>
      <c r="H64" s="39"/>
      <c r="I64" s="39"/>
    </row>
    <row r="65" spans="1:9" x14ac:dyDescent="0.25">
      <c r="A65" s="10"/>
      <c r="B65" s="10"/>
      <c r="C65" s="11" t="s">
        <v>140</v>
      </c>
      <c r="D65" s="39">
        <v>17353.7</v>
      </c>
      <c r="E65" s="39">
        <v>0</v>
      </c>
      <c r="F65" s="39">
        <v>0</v>
      </c>
      <c r="G65" s="39">
        <v>0</v>
      </c>
      <c r="H65" s="39"/>
      <c r="I65" s="39"/>
    </row>
    <row r="66" spans="1:9" x14ac:dyDescent="0.25">
      <c r="A66" s="10"/>
      <c r="B66" s="10"/>
      <c r="C66" s="11" t="s">
        <v>141</v>
      </c>
      <c r="D66" s="39">
        <v>4718.59</v>
      </c>
      <c r="E66" s="39">
        <v>1134.77</v>
      </c>
      <c r="F66" s="39">
        <v>0</v>
      </c>
      <c r="G66" s="39">
        <v>0</v>
      </c>
      <c r="H66" s="39"/>
      <c r="I66" s="39"/>
    </row>
    <row r="67" spans="1:9" x14ac:dyDescent="0.25">
      <c r="A67" s="10"/>
      <c r="B67" s="10"/>
      <c r="C67" s="11" t="s">
        <v>194</v>
      </c>
      <c r="D67" s="39">
        <v>1587.95</v>
      </c>
      <c r="E67" s="39">
        <v>5226.5</v>
      </c>
      <c r="F67" s="39">
        <v>3300</v>
      </c>
      <c r="G67" s="39">
        <v>4572.4799999999996</v>
      </c>
      <c r="H67" s="39"/>
      <c r="I67" s="39"/>
    </row>
    <row r="68" spans="1:9" x14ac:dyDescent="0.25">
      <c r="A68" s="10"/>
      <c r="B68" s="10"/>
      <c r="C68" s="11" t="s">
        <v>142</v>
      </c>
      <c r="D68" s="39">
        <v>310.93</v>
      </c>
      <c r="E68" s="39">
        <v>670.84</v>
      </c>
      <c r="F68" s="39">
        <v>0</v>
      </c>
      <c r="G68" s="39">
        <v>0</v>
      </c>
      <c r="H68" s="39"/>
      <c r="I68" s="39"/>
    </row>
    <row r="69" spans="1:9" x14ac:dyDescent="0.25">
      <c r="A69" s="10"/>
      <c r="B69" s="10"/>
      <c r="C69" s="11"/>
      <c r="D69" s="8"/>
      <c r="E69" s="8"/>
      <c r="F69" s="8"/>
      <c r="G69" s="8"/>
      <c r="H69" s="8"/>
      <c r="I69" s="8"/>
    </row>
  </sheetData>
  <mergeCells count="33">
    <mergeCell ref="A3:I3"/>
    <mergeCell ref="A43:I43"/>
    <mergeCell ref="A58:J58"/>
    <mergeCell ref="A30:C30"/>
    <mergeCell ref="A14:C14"/>
    <mergeCell ref="A36:C36"/>
    <mergeCell ref="A37:C37"/>
    <mergeCell ref="A38:C38"/>
    <mergeCell ref="A29:C29"/>
    <mergeCell ref="A33:C33"/>
    <mergeCell ref="A34:C34"/>
    <mergeCell ref="A32:C32"/>
    <mergeCell ref="A27:C27"/>
    <mergeCell ref="A18:C18"/>
    <mergeCell ref="A15:C15"/>
    <mergeCell ref="A31:C31"/>
    <mergeCell ref="A16:C16"/>
    <mergeCell ref="A1:I1"/>
    <mergeCell ref="A5:I5"/>
    <mergeCell ref="A7:I7"/>
    <mergeCell ref="A35:C35"/>
    <mergeCell ref="A21:I21"/>
    <mergeCell ref="A23:C23"/>
    <mergeCell ref="A24:C24"/>
    <mergeCell ref="A25:C25"/>
    <mergeCell ref="A26:C26"/>
    <mergeCell ref="A28:C28"/>
    <mergeCell ref="A9:C9"/>
    <mergeCell ref="A10:C10"/>
    <mergeCell ref="A11:C11"/>
    <mergeCell ref="A12:C12"/>
    <mergeCell ref="A13:C13"/>
    <mergeCell ref="A17:C17"/>
  </mergeCells>
  <pageMargins left="0.31496062992125984" right="0.31496062992125984" top="0.35433070866141736" bottom="0.35433070866141736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zoomScale="120" zoomScaleNormal="120" workbookViewId="0">
      <selection activeCell="E13" sqref="E13"/>
    </sheetView>
  </sheetViews>
  <sheetFormatPr defaultRowHeight="15" x14ac:dyDescent="0.25"/>
  <cols>
    <col min="1" max="1" width="37.7109375" customWidth="1"/>
    <col min="2" max="3" width="21.28515625" customWidth="1"/>
    <col min="4" max="4" width="19.28515625" customWidth="1"/>
    <col min="5" max="5" width="19.5703125" customWidth="1"/>
    <col min="6" max="6" width="20.42578125" customWidth="1"/>
    <col min="7" max="7" width="21" customWidth="1"/>
  </cols>
  <sheetData>
    <row r="1" spans="1:12" ht="42" customHeight="1" x14ac:dyDescent="0.25">
      <c r="A1" s="138" t="s">
        <v>189</v>
      </c>
      <c r="B1" s="138"/>
      <c r="C1" s="138"/>
      <c r="D1" s="138"/>
      <c r="E1" s="138"/>
      <c r="F1" s="138"/>
      <c r="G1" s="138"/>
      <c r="H1" s="126"/>
      <c r="I1" s="126"/>
      <c r="J1" s="126"/>
      <c r="K1" s="126"/>
      <c r="L1" s="126"/>
    </row>
    <row r="2" spans="1:12" ht="18" customHeight="1" x14ac:dyDescent="0.25">
      <c r="A2" s="4"/>
      <c r="B2" s="18"/>
      <c r="C2" s="18"/>
      <c r="D2" s="4"/>
      <c r="E2" s="18"/>
      <c r="F2" s="18"/>
      <c r="G2" s="4"/>
    </row>
    <row r="3" spans="1:12" ht="15.75" x14ac:dyDescent="0.25">
      <c r="A3" s="138" t="s">
        <v>20</v>
      </c>
      <c r="B3" s="138"/>
      <c r="C3" s="138"/>
      <c r="D3" s="151"/>
      <c r="E3" s="151"/>
      <c r="F3" s="151"/>
      <c r="G3" s="151"/>
    </row>
    <row r="4" spans="1:12" ht="18" x14ac:dyDescent="0.25">
      <c r="A4" s="4"/>
      <c r="B4" s="18"/>
      <c r="C4" s="18"/>
      <c r="D4" s="5"/>
      <c r="E4" s="5"/>
      <c r="F4" s="5"/>
      <c r="G4" s="5"/>
    </row>
    <row r="5" spans="1:12" ht="18" customHeight="1" x14ac:dyDescent="0.25">
      <c r="A5" s="138" t="s">
        <v>7</v>
      </c>
      <c r="B5" s="138"/>
      <c r="C5" s="139"/>
      <c r="D5" s="139"/>
      <c r="E5" s="139"/>
      <c r="F5" s="139"/>
      <c r="G5" s="139"/>
    </row>
    <row r="6" spans="1:12" ht="18" x14ac:dyDescent="0.25">
      <c r="A6" s="4"/>
      <c r="B6" s="18"/>
      <c r="C6" s="18"/>
      <c r="D6" s="5"/>
      <c r="E6" s="5"/>
      <c r="F6" s="5"/>
      <c r="G6" s="5"/>
    </row>
    <row r="7" spans="1:12" ht="15.75" x14ac:dyDescent="0.25">
      <c r="A7" s="138" t="s">
        <v>16</v>
      </c>
      <c r="B7" s="138"/>
      <c r="C7" s="157"/>
      <c r="D7" s="157"/>
      <c r="E7" s="157"/>
      <c r="F7" s="157"/>
      <c r="G7" s="157"/>
    </row>
    <row r="8" spans="1:12" ht="18" x14ac:dyDescent="0.25">
      <c r="A8" s="4"/>
      <c r="B8" s="18"/>
      <c r="C8" s="18"/>
      <c r="D8" s="5"/>
      <c r="E8" s="5"/>
      <c r="F8" s="5"/>
      <c r="G8" s="34"/>
    </row>
    <row r="9" spans="1:12" ht="25.5" x14ac:dyDescent="0.25">
      <c r="A9" s="14" t="s">
        <v>17</v>
      </c>
      <c r="B9" s="14" t="s">
        <v>160</v>
      </c>
      <c r="C9" s="14" t="s">
        <v>167</v>
      </c>
      <c r="D9" s="14" t="s">
        <v>163</v>
      </c>
      <c r="E9" s="14" t="s">
        <v>190</v>
      </c>
      <c r="F9" s="14" t="s">
        <v>133</v>
      </c>
      <c r="G9" s="14" t="s">
        <v>162</v>
      </c>
    </row>
    <row r="10" spans="1:12" ht="15.75" customHeight="1" x14ac:dyDescent="0.25">
      <c r="A10" s="9" t="s">
        <v>18</v>
      </c>
      <c r="B10" s="67">
        <f>B11</f>
        <v>4243900.2</v>
      </c>
      <c r="C10" s="67">
        <f>C11</f>
        <v>5095713.87</v>
      </c>
      <c r="D10" s="67">
        <f>SAŽETAK!H11</f>
        <v>4763203</v>
      </c>
      <c r="E10" s="67">
        <f>SAŽETAK!I11</f>
        <v>4991274.49</v>
      </c>
      <c r="F10" s="67">
        <f>SAŽETAK!J11</f>
        <v>4970869.49</v>
      </c>
      <c r="G10" s="67">
        <f>SAŽETAK!K11</f>
        <v>4930869.49</v>
      </c>
    </row>
    <row r="11" spans="1:12" ht="15.75" customHeight="1" x14ac:dyDescent="0.25">
      <c r="A11" s="9" t="s">
        <v>37</v>
      </c>
      <c r="B11" s="66">
        <f t="shared" ref="B11:G11" si="0">B12+B13</f>
        <v>4243900.2</v>
      </c>
      <c r="C11" s="66">
        <f t="shared" si="0"/>
        <v>5095713.87</v>
      </c>
      <c r="D11" s="66">
        <f t="shared" si="0"/>
        <v>4763203</v>
      </c>
      <c r="E11" s="66">
        <f t="shared" si="0"/>
        <v>4991274.49</v>
      </c>
      <c r="F11" s="66">
        <f t="shared" si="0"/>
        <v>4970869.49</v>
      </c>
      <c r="G11" s="66">
        <f t="shared" si="0"/>
        <v>4930869.49</v>
      </c>
    </row>
    <row r="12" spans="1:12" x14ac:dyDescent="0.25">
      <c r="A12" s="12" t="s">
        <v>38</v>
      </c>
      <c r="B12" s="92">
        <v>3956944.07</v>
      </c>
      <c r="C12" s="66">
        <f>5095713.87-C13</f>
        <v>4789513.87</v>
      </c>
      <c r="D12" s="66">
        <f>D10-D13</f>
        <v>4459203</v>
      </c>
      <c r="E12" s="66">
        <f>E10-E13</f>
        <v>4686174.49</v>
      </c>
      <c r="F12" s="66">
        <f t="shared" ref="F12:G12" si="1">F10-F13</f>
        <v>4665769.49</v>
      </c>
      <c r="G12" s="66">
        <f t="shared" si="1"/>
        <v>4625769.49</v>
      </c>
    </row>
    <row r="13" spans="1:12" x14ac:dyDescent="0.25">
      <c r="A13" s="9" t="s">
        <v>39</v>
      </c>
      <c r="B13" s="93">
        <v>286956.13</v>
      </c>
      <c r="C13" s="66">
        <f>16200+45000+245000</f>
        <v>306200</v>
      </c>
      <c r="D13" s="66">
        <f>17000+242000+45000</f>
        <v>304000</v>
      </c>
      <c r="E13" s="66">
        <v>305100</v>
      </c>
      <c r="F13" s="66">
        <v>305100</v>
      </c>
      <c r="G13" s="66">
        <v>305100</v>
      </c>
    </row>
  </sheetData>
  <mergeCells count="4">
    <mergeCell ref="A3:G3"/>
    <mergeCell ref="A5:G5"/>
    <mergeCell ref="A7:G7"/>
    <mergeCell ref="A1:G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73"/>
  <sheetViews>
    <sheetView tabSelected="1" zoomScaleNormal="100" workbookViewId="0">
      <selection activeCell="H166" sqref="H16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15.7109375" customWidth="1"/>
    <col min="4" max="4" width="37.28515625" customWidth="1"/>
    <col min="5" max="5" width="22" customWidth="1"/>
    <col min="6" max="6" width="22.28515625" customWidth="1"/>
    <col min="7" max="7" width="21.5703125" customWidth="1"/>
    <col min="8" max="8" width="21.85546875" customWidth="1"/>
    <col min="9" max="9" width="22.140625" customWidth="1"/>
    <col min="10" max="10" width="19.85546875" customWidth="1"/>
    <col min="14" max="14" width="9.42578125" customWidth="1"/>
  </cols>
  <sheetData>
    <row r="1" spans="1:12" ht="42" customHeight="1" x14ac:dyDescent="0.25">
      <c r="A1" s="138" t="s">
        <v>189</v>
      </c>
      <c r="B1" s="138"/>
      <c r="C1" s="138"/>
      <c r="D1" s="138"/>
      <c r="E1" s="138"/>
      <c r="F1" s="138"/>
      <c r="G1" s="138"/>
      <c r="H1" s="138"/>
      <c r="I1" s="138"/>
      <c r="J1" s="138"/>
      <c r="K1" s="126"/>
      <c r="L1" s="126"/>
    </row>
    <row r="2" spans="1:12" ht="18" x14ac:dyDescent="0.25">
      <c r="A2" s="4"/>
      <c r="B2" s="4"/>
      <c r="C2" s="4"/>
      <c r="D2" s="4"/>
      <c r="E2" s="18"/>
      <c r="F2" s="18"/>
      <c r="G2" s="5"/>
      <c r="H2" s="133"/>
      <c r="I2" s="5"/>
      <c r="J2" s="5"/>
    </row>
    <row r="3" spans="1:12" ht="18" customHeight="1" x14ac:dyDescent="0.25">
      <c r="A3" s="138" t="s">
        <v>19</v>
      </c>
      <c r="B3" s="139"/>
      <c r="C3" s="139"/>
      <c r="D3" s="139"/>
      <c r="E3" s="139"/>
      <c r="F3" s="139"/>
      <c r="G3" s="139"/>
      <c r="H3" s="139"/>
      <c r="I3" s="139"/>
      <c r="J3" s="139"/>
    </row>
    <row r="4" spans="1:12" ht="18" x14ac:dyDescent="0.25">
      <c r="A4" s="4"/>
      <c r="B4" s="4"/>
      <c r="C4" s="34" t="s">
        <v>43</v>
      </c>
      <c r="D4" s="4"/>
      <c r="E4" s="45">
        <f t="shared" ref="E4:J4" si="0">E6+E126</f>
        <v>4243900.2</v>
      </c>
      <c r="F4" s="45">
        <f t="shared" si="0"/>
        <v>5095713.87</v>
      </c>
      <c r="G4" s="45">
        <f t="shared" si="0"/>
        <v>4763203</v>
      </c>
      <c r="H4" s="45">
        <f t="shared" si="0"/>
        <v>4991274.49</v>
      </c>
      <c r="I4" s="45">
        <f t="shared" si="0"/>
        <v>4970869.49</v>
      </c>
      <c r="J4" s="45">
        <f t="shared" si="0"/>
        <v>4930869.49</v>
      </c>
    </row>
    <row r="5" spans="1:12" ht="25.5" x14ac:dyDescent="0.25">
      <c r="A5" s="161" t="s">
        <v>21</v>
      </c>
      <c r="B5" s="194"/>
      <c r="C5" s="195"/>
      <c r="D5" s="13" t="s">
        <v>22</v>
      </c>
      <c r="E5" s="14" t="s">
        <v>160</v>
      </c>
      <c r="F5" s="14" t="s">
        <v>167</v>
      </c>
      <c r="G5" s="14" t="s">
        <v>161</v>
      </c>
      <c r="H5" s="14" t="s">
        <v>188</v>
      </c>
      <c r="I5" s="14" t="s">
        <v>133</v>
      </c>
      <c r="J5" s="14" t="s">
        <v>162</v>
      </c>
    </row>
    <row r="6" spans="1:12" ht="37.15" customHeight="1" x14ac:dyDescent="0.25">
      <c r="A6" s="191" t="s">
        <v>99</v>
      </c>
      <c r="B6" s="192"/>
      <c r="C6" s="193"/>
      <c r="D6" s="65" t="s">
        <v>100</v>
      </c>
      <c r="E6" s="54">
        <f t="shared" ref="E6" si="1">E7+E11+E15+E19+E35+E65+E96+E105+E23+E31</f>
        <v>3813020.5900000003</v>
      </c>
      <c r="F6" s="54">
        <f>F7+F11+F15+F19+F35+F65+F96+F105+F23+F31+F27</f>
        <v>4570813.87</v>
      </c>
      <c r="G6" s="54">
        <f t="shared" ref="G6:J6" si="2">G7+G11+G15+G19+G35+G65+G96+G105+G23+G31+G27</f>
        <v>4248703</v>
      </c>
      <c r="H6" s="54">
        <f t="shared" ref="H6" si="3">H7+H11+H15+H19+H35+H65+H96+H105+H23+H31+H27</f>
        <v>4400124.49</v>
      </c>
      <c r="I6" s="54">
        <f t="shared" ref="I6" si="4">I7+I11+I15+I19+I35+I65+I96+I105+I23+I31+I27</f>
        <v>4379719.49</v>
      </c>
      <c r="J6" s="54">
        <f t="shared" si="2"/>
        <v>4339719.49</v>
      </c>
    </row>
    <row r="7" spans="1:12" ht="24.95" customHeight="1" x14ac:dyDescent="0.25">
      <c r="A7" s="176" t="s">
        <v>46</v>
      </c>
      <c r="B7" s="177"/>
      <c r="C7" s="178"/>
      <c r="D7" s="46" t="s">
        <v>143</v>
      </c>
      <c r="E7" s="52">
        <f>E9</f>
        <v>170562.81</v>
      </c>
      <c r="F7" s="52">
        <f>F9</f>
        <v>131055</v>
      </c>
      <c r="G7" s="52">
        <f t="shared" ref="G7:J7" si="5">G9</f>
        <v>124903</v>
      </c>
      <c r="H7" s="52">
        <f t="shared" ref="H7" si="6">H9</f>
        <v>124039</v>
      </c>
      <c r="I7" s="52">
        <f t="shared" ref="I7" si="7">I9</f>
        <v>124039</v>
      </c>
      <c r="J7" s="52">
        <f t="shared" si="5"/>
        <v>124039</v>
      </c>
    </row>
    <row r="8" spans="1:12" s="59" customFormat="1" ht="24.95" customHeight="1" x14ac:dyDescent="0.2">
      <c r="A8" s="179" t="s">
        <v>69</v>
      </c>
      <c r="B8" s="180"/>
      <c r="C8" s="181"/>
      <c r="D8" s="57" t="s">
        <v>11</v>
      </c>
      <c r="E8" s="58">
        <f t="shared" ref="E8:F9" si="8">E9</f>
        <v>170562.81</v>
      </c>
      <c r="F8" s="58">
        <f t="shared" si="8"/>
        <v>131055</v>
      </c>
      <c r="G8" s="58">
        <f t="shared" ref="G8:J9" si="9">G9</f>
        <v>124903</v>
      </c>
      <c r="H8" s="58">
        <f t="shared" si="9"/>
        <v>124039</v>
      </c>
      <c r="I8" s="58">
        <f t="shared" si="9"/>
        <v>124039</v>
      </c>
      <c r="J8" s="58">
        <f t="shared" si="9"/>
        <v>124039</v>
      </c>
    </row>
    <row r="9" spans="1:12" ht="24.95" customHeight="1" x14ac:dyDescent="0.25">
      <c r="A9" s="182">
        <v>3</v>
      </c>
      <c r="B9" s="183"/>
      <c r="C9" s="184"/>
      <c r="D9" s="19" t="s">
        <v>13</v>
      </c>
      <c r="E9" s="40">
        <f t="shared" si="8"/>
        <v>170562.81</v>
      </c>
      <c r="F9" s="40">
        <f t="shared" si="8"/>
        <v>131055</v>
      </c>
      <c r="G9" s="40">
        <f t="shared" si="9"/>
        <v>124903</v>
      </c>
      <c r="H9" s="40">
        <f t="shared" si="9"/>
        <v>124039</v>
      </c>
      <c r="I9" s="40">
        <f t="shared" si="9"/>
        <v>124039</v>
      </c>
      <c r="J9" s="40">
        <f t="shared" si="9"/>
        <v>124039</v>
      </c>
    </row>
    <row r="10" spans="1:12" ht="24.95" customHeight="1" x14ac:dyDescent="0.25">
      <c r="A10" s="185">
        <v>32</v>
      </c>
      <c r="B10" s="186"/>
      <c r="C10" s="187"/>
      <c r="D10" s="19" t="s">
        <v>23</v>
      </c>
      <c r="E10" s="40">
        <v>170562.81</v>
      </c>
      <c r="F10" s="40">
        <f>8080+700+20500+30000+1000+100+375+4400+19700+500+15000+10000+2300+5300+8500+3400+100+100+1000</f>
        <v>131055</v>
      </c>
      <c r="G10" s="40">
        <f>8000+600+20000+25600+1000+100+375+4600+20600+500+15000+8000+2228+5200+8500+3400+100+100+1000</f>
        <v>124903</v>
      </c>
      <c r="H10" s="40">
        <f>124039</f>
        <v>124039</v>
      </c>
      <c r="I10" s="40">
        <f t="shared" ref="I10:J10" si="10">124039</f>
        <v>124039</v>
      </c>
      <c r="J10" s="40">
        <f t="shared" si="10"/>
        <v>124039</v>
      </c>
    </row>
    <row r="11" spans="1:12" ht="24.95" customHeight="1" x14ac:dyDescent="0.25">
      <c r="A11" s="176" t="s">
        <v>47</v>
      </c>
      <c r="B11" s="177"/>
      <c r="C11" s="178"/>
      <c r="D11" s="46" t="s">
        <v>144</v>
      </c>
      <c r="E11" s="52">
        <f>E13</f>
        <v>41.06</v>
      </c>
      <c r="F11" s="52">
        <f>F13</f>
        <v>45</v>
      </c>
      <c r="G11" s="52">
        <f t="shared" ref="G11:J11" si="11">G13</f>
        <v>20</v>
      </c>
      <c r="H11" s="52">
        <f t="shared" ref="H11" si="12">H13</f>
        <v>19</v>
      </c>
      <c r="I11" s="52">
        <f t="shared" ref="I11" si="13">I13</f>
        <v>19</v>
      </c>
      <c r="J11" s="52">
        <f t="shared" si="11"/>
        <v>19</v>
      </c>
    </row>
    <row r="12" spans="1:12" s="61" customFormat="1" ht="24.95" customHeight="1" x14ac:dyDescent="0.25">
      <c r="A12" s="179" t="s">
        <v>69</v>
      </c>
      <c r="B12" s="180"/>
      <c r="C12" s="181"/>
      <c r="D12" s="57" t="s">
        <v>11</v>
      </c>
      <c r="E12" s="58">
        <f t="shared" ref="E12:F13" si="14">E13</f>
        <v>41.06</v>
      </c>
      <c r="F12" s="58">
        <f t="shared" si="14"/>
        <v>45</v>
      </c>
      <c r="G12" s="58">
        <f t="shared" ref="G12:J13" si="15">G13</f>
        <v>20</v>
      </c>
      <c r="H12" s="58">
        <f t="shared" si="15"/>
        <v>19</v>
      </c>
      <c r="I12" s="58">
        <f t="shared" si="15"/>
        <v>19</v>
      </c>
      <c r="J12" s="58">
        <f t="shared" si="15"/>
        <v>19</v>
      </c>
    </row>
    <row r="13" spans="1:12" ht="24.95" customHeight="1" x14ac:dyDescent="0.25">
      <c r="A13" s="182">
        <v>3</v>
      </c>
      <c r="B13" s="183"/>
      <c r="C13" s="184"/>
      <c r="D13" s="26" t="s">
        <v>13</v>
      </c>
      <c r="E13" s="40">
        <f t="shared" si="14"/>
        <v>41.06</v>
      </c>
      <c r="F13" s="40">
        <f t="shared" si="14"/>
        <v>45</v>
      </c>
      <c r="G13" s="40">
        <f t="shared" si="15"/>
        <v>20</v>
      </c>
      <c r="H13" s="40">
        <f t="shared" si="15"/>
        <v>19</v>
      </c>
      <c r="I13" s="40">
        <f t="shared" si="15"/>
        <v>19</v>
      </c>
      <c r="J13" s="40">
        <f t="shared" si="15"/>
        <v>19</v>
      </c>
    </row>
    <row r="14" spans="1:12" ht="24.95" customHeight="1" x14ac:dyDescent="0.25">
      <c r="A14" s="185">
        <v>34</v>
      </c>
      <c r="B14" s="186"/>
      <c r="C14" s="187"/>
      <c r="D14" s="26" t="s">
        <v>48</v>
      </c>
      <c r="E14" s="40">
        <v>41.06</v>
      </c>
      <c r="F14" s="40">
        <f>45</f>
        <v>45</v>
      </c>
      <c r="G14" s="40">
        <v>20</v>
      </c>
      <c r="H14" s="40">
        <f>19</f>
        <v>19</v>
      </c>
      <c r="I14" s="40">
        <f>19</f>
        <v>19</v>
      </c>
      <c r="J14" s="40">
        <f>19</f>
        <v>19</v>
      </c>
    </row>
    <row r="15" spans="1:12" ht="24.95" customHeight="1" x14ac:dyDescent="0.25">
      <c r="A15" s="176" t="s">
        <v>49</v>
      </c>
      <c r="B15" s="177"/>
      <c r="C15" s="178"/>
      <c r="D15" s="46" t="s">
        <v>145</v>
      </c>
      <c r="E15" s="52">
        <f>E17</f>
        <v>40794.75</v>
      </c>
      <c r="F15" s="52">
        <f>F17</f>
        <v>11800</v>
      </c>
      <c r="G15" s="52">
        <f t="shared" ref="G15:J15" si="16">G17</f>
        <v>27300</v>
      </c>
      <c r="H15" s="52">
        <f t="shared" ref="H15" si="17">H17</f>
        <v>34080</v>
      </c>
      <c r="I15" s="52">
        <f t="shared" ref="I15" si="18">I17</f>
        <v>34080</v>
      </c>
      <c r="J15" s="52">
        <f t="shared" si="16"/>
        <v>34080</v>
      </c>
    </row>
    <row r="16" spans="1:12" s="61" customFormat="1" ht="24.95" customHeight="1" x14ac:dyDescent="0.25">
      <c r="A16" s="179" t="s">
        <v>69</v>
      </c>
      <c r="B16" s="180"/>
      <c r="C16" s="181"/>
      <c r="D16" s="57" t="s">
        <v>146</v>
      </c>
      <c r="E16" s="58">
        <f t="shared" ref="E16:F17" si="19">E17</f>
        <v>40794.75</v>
      </c>
      <c r="F16" s="58">
        <f t="shared" si="19"/>
        <v>11800</v>
      </c>
      <c r="G16" s="58">
        <f t="shared" ref="G16:J17" si="20">G17</f>
        <v>27300</v>
      </c>
      <c r="H16" s="58">
        <f t="shared" si="20"/>
        <v>34080</v>
      </c>
      <c r="I16" s="58">
        <f t="shared" si="20"/>
        <v>34080</v>
      </c>
      <c r="J16" s="58">
        <f t="shared" si="20"/>
        <v>34080</v>
      </c>
    </row>
    <row r="17" spans="1:10" ht="24.95" customHeight="1" x14ac:dyDescent="0.25">
      <c r="A17" s="182">
        <v>4</v>
      </c>
      <c r="B17" s="183"/>
      <c r="C17" s="184"/>
      <c r="D17" s="26" t="s">
        <v>15</v>
      </c>
      <c r="E17" s="40">
        <f t="shared" si="19"/>
        <v>40794.75</v>
      </c>
      <c r="F17" s="40">
        <f t="shared" si="19"/>
        <v>11800</v>
      </c>
      <c r="G17" s="40">
        <f t="shared" si="20"/>
        <v>27300</v>
      </c>
      <c r="H17" s="40">
        <f t="shared" si="20"/>
        <v>34080</v>
      </c>
      <c r="I17" s="40">
        <f t="shared" si="20"/>
        <v>34080</v>
      </c>
      <c r="J17" s="40">
        <f t="shared" si="20"/>
        <v>34080</v>
      </c>
    </row>
    <row r="18" spans="1:10" ht="24.95" customHeight="1" x14ac:dyDescent="0.25">
      <c r="A18" s="185">
        <v>42</v>
      </c>
      <c r="B18" s="186"/>
      <c r="C18" s="187"/>
      <c r="D18" s="26" t="s">
        <v>29</v>
      </c>
      <c r="E18" s="40">
        <v>40794.75</v>
      </c>
      <c r="F18" s="40">
        <f>500+1300+10000</f>
        <v>11800</v>
      </c>
      <c r="G18" s="40">
        <f>15000+5300+6500+500</f>
        <v>27300</v>
      </c>
      <c r="H18" s="40">
        <f>34080</f>
        <v>34080</v>
      </c>
      <c r="I18" s="40">
        <f>34080</f>
        <v>34080</v>
      </c>
      <c r="J18" s="40">
        <f>34080</f>
        <v>34080</v>
      </c>
    </row>
    <row r="19" spans="1:10" ht="32.450000000000003" customHeight="1" x14ac:dyDescent="0.25">
      <c r="A19" s="176" t="s">
        <v>50</v>
      </c>
      <c r="B19" s="177"/>
      <c r="C19" s="178"/>
      <c r="D19" s="46" t="s">
        <v>147</v>
      </c>
      <c r="E19" s="52">
        <f>E21</f>
        <v>58852.5</v>
      </c>
      <c r="F19" s="52">
        <f>F21</f>
        <v>45200</v>
      </c>
      <c r="G19" s="52">
        <f t="shared" ref="G19:J19" si="21">G21</f>
        <v>40000</v>
      </c>
      <c r="H19" s="52">
        <f t="shared" ref="H19" si="22">H21</f>
        <v>29190</v>
      </c>
      <c r="I19" s="52">
        <f t="shared" ref="I19" si="23">I21</f>
        <v>29190</v>
      </c>
      <c r="J19" s="52">
        <f t="shared" si="21"/>
        <v>29190</v>
      </c>
    </row>
    <row r="20" spans="1:10" s="61" customFormat="1" ht="24.95" customHeight="1" x14ac:dyDescent="0.25">
      <c r="A20" s="196" t="s">
        <v>69</v>
      </c>
      <c r="B20" s="197"/>
      <c r="C20" s="198"/>
      <c r="D20" s="118" t="s">
        <v>146</v>
      </c>
      <c r="E20" s="58">
        <f t="shared" ref="E20:F21" si="24">E21</f>
        <v>58852.5</v>
      </c>
      <c r="F20" s="58">
        <f t="shared" si="24"/>
        <v>45200</v>
      </c>
      <c r="G20" s="58">
        <f t="shared" ref="G20:J21" si="25">G21</f>
        <v>40000</v>
      </c>
      <c r="H20" s="58">
        <f t="shared" si="25"/>
        <v>29190</v>
      </c>
      <c r="I20" s="58">
        <f t="shared" si="25"/>
        <v>29190</v>
      </c>
      <c r="J20" s="58">
        <f t="shared" si="25"/>
        <v>29190</v>
      </c>
    </row>
    <row r="21" spans="1:10" ht="24.95" customHeight="1" x14ac:dyDescent="0.25">
      <c r="A21" s="182">
        <v>4</v>
      </c>
      <c r="B21" s="183"/>
      <c r="C21" s="184"/>
      <c r="D21" s="26" t="s">
        <v>15</v>
      </c>
      <c r="E21" s="40">
        <f t="shared" si="24"/>
        <v>58852.5</v>
      </c>
      <c r="F21" s="40">
        <f t="shared" si="24"/>
        <v>45200</v>
      </c>
      <c r="G21" s="40">
        <f t="shared" si="25"/>
        <v>40000</v>
      </c>
      <c r="H21" s="40">
        <f t="shared" si="25"/>
        <v>29190</v>
      </c>
      <c r="I21" s="40">
        <f t="shared" si="25"/>
        <v>29190</v>
      </c>
      <c r="J21" s="40">
        <f t="shared" si="25"/>
        <v>29190</v>
      </c>
    </row>
    <row r="22" spans="1:10" ht="24.95" customHeight="1" x14ac:dyDescent="0.25">
      <c r="A22" s="185">
        <v>45</v>
      </c>
      <c r="B22" s="186"/>
      <c r="C22" s="187"/>
      <c r="D22" s="35" t="s">
        <v>35</v>
      </c>
      <c r="E22" s="40">
        <v>58852.5</v>
      </c>
      <c r="F22" s="40">
        <f>45200</f>
        <v>45200</v>
      </c>
      <c r="G22" s="40">
        <v>40000</v>
      </c>
      <c r="H22" s="40">
        <f>29190</f>
        <v>29190</v>
      </c>
      <c r="I22" s="40">
        <f>29190</f>
        <v>29190</v>
      </c>
      <c r="J22" s="40">
        <f>29190</f>
        <v>29190</v>
      </c>
    </row>
    <row r="23" spans="1:10" ht="31.15" customHeight="1" x14ac:dyDescent="0.25">
      <c r="A23" s="176" t="s">
        <v>148</v>
      </c>
      <c r="B23" s="177"/>
      <c r="C23" s="178"/>
      <c r="D23" s="119" t="s">
        <v>149</v>
      </c>
      <c r="E23" s="52">
        <f>E25</f>
        <v>0</v>
      </c>
      <c r="F23" s="52">
        <f>F25</f>
        <v>70780</v>
      </c>
      <c r="G23" s="52">
        <f t="shared" ref="G23:J23" si="26">G25</f>
        <v>98500</v>
      </c>
      <c r="H23" s="52">
        <f t="shared" ref="H23" si="27">H25</f>
        <v>110200</v>
      </c>
      <c r="I23" s="52">
        <f t="shared" ref="I23" si="28">I25</f>
        <v>110200</v>
      </c>
      <c r="J23" s="52">
        <f t="shared" si="26"/>
        <v>110200</v>
      </c>
    </row>
    <row r="24" spans="1:10" s="59" customFormat="1" ht="24.95" customHeight="1" x14ac:dyDescent="0.2">
      <c r="A24" s="179" t="s">
        <v>69</v>
      </c>
      <c r="B24" s="180"/>
      <c r="C24" s="181"/>
      <c r="D24" s="118" t="s">
        <v>11</v>
      </c>
      <c r="E24" s="58">
        <f t="shared" ref="E24:E25" si="29">E25</f>
        <v>0</v>
      </c>
      <c r="F24" s="58">
        <f t="shared" ref="F24:J25" si="30">F25</f>
        <v>70780</v>
      </c>
      <c r="G24" s="58">
        <f t="shared" si="30"/>
        <v>98500</v>
      </c>
      <c r="H24" s="58">
        <f t="shared" si="30"/>
        <v>110200</v>
      </c>
      <c r="I24" s="58">
        <f t="shared" si="30"/>
        <v>110200</v>
      </c>
      <c r="J24" s="58">
        <f t="shared" si="30"/>
        <v>110200</v>
      </c>
    </row>
    <row r="25" spans="1:10" ht="24.95" customHeight="1" x14ac:dyDescent="0.25">
      <c r="A25" s="182">
        <v>3</v>
      </c>
      <c r="B25" s="183"/>
      <c r="C25" s="184"/>
      <c r="D25" s="120" t="s">
        <v>13</v>
      </c>
      <c r="E25" s="40">
        <f t="shared" si="29"/>
        <v>0</v>
      </c>
      <c r="F25" s="40">
        <f t="shared" si="30"/>
        <v>70780</v>
      </c>
      <c r="G25" s="40">
        <f t="shared" si="30"/>
        <v>98500</v>
      </c>
      <c r="H25" s="40">
        <f t="shared" si="30"/>
        <v>110200</v>
      </c>
      <c r="I25" s="40">
        <f t="shared" si="30"/>
        <v>110200</v>
      </c>
      <c r="J25" s="40">
        <f t="shared" si="30"/>
        <v>110200</v>
      </c>
    </row>
    <row r="26" spans="1:10" ht="24.95" customHeight="1" x14ac:dyDescent="0.25">
      <c r="A26" s="185">
        <v>32</v>
      </c>
      <c r="B26" s="186"/>
      <c r="C26" s="187"/>
      <c r="D26" s="120" t="s">
        <v>23</v>
      </c>
      <c r="E26" s="40"/>
      <c r="F26" s="40">
        <f>45000+2300+4080+5000+400+14000</f>
        <v>70780</v>
      </c>
      <c r="G26" s="40">
        <f>64400+15000+2500+400+16200</f>
        <v>98500</v>
      </c>
      <c r="H26" s="40">
        <f>110200</f>
        <v>110200</v>
      </c>
      <c r="I26" s="40">
        <f t="shared" ref="I26:J26" si="31">110200</f>
        <v>110200</v>
      </c>
      <c r="J26" s="40">
        <f t="shared" si="31"/>
        <v>110200</v>
      </c>
    </row>
    <row r="27" spans="1:10" ht="32.450000000000003" customHeight="1" x14ac:dyDescent="0.25">
      <c r="A27" s="176" t="s">
        <v>157</v>
      </c>
      <c r="B27" s="177"/>
      <c r="C27" s="178"/>
      <c r="D27" s="129" t="s">
        <v>158</v>
      </c>
      <c r="E27" s="52">
        <f>E29</f>
        <v>0</v>
      </c>
      <c r="F27" s="52">
        <f>F29</f>
        <v>5000</v>
      </c>
      <c r="G27" s="52">
        <f t="shared" ref="G27:J27" si="32">G29</f>
        <v>15000</v>
      </c>
      <c r="H27" s="52">
        <f t="shared" ref="H27" si="33">H29</f>
        <v>42000</v>
      </c>
      <c r="I27" s="52">
        <f t="shared" ref="I27" si="34">I29</f>
        <v>40000</v>
      </c>
      <c r="J27" s="52">
        <f t="shared" si="32"/>
        <v>0</v>
      </c>
    </row>
    <row r="28" spans="1:10" s="61" customFormat="1" ht="24.95" customHeight="1" x14ac:dyDescent="0.25">
      <c r="A28" s="179" t="s">
        <v>69</v>
      </c>
      <c r="B28" s="180"/>
      <c r="C28" s="181"/>
      <c r="D28" s="128" t="s">
        <v>11</v>
      </c>
      <c r="E28" s="58">
        <f>E29</f>
        <v>0</v>
      </c>
      <c r="F28" s="58">
        <f t="shared" ref="E28:J29" si="35">F29</f>
        <v>5000</v>
      </c>
      <c r="G28" s="58">
        <f t="shared" si="35"/>
        <v>15000</v>
      </c>
      <c r="H28" s="58">
        <f t="shared" si="35"/>
        <v>42000</v>
      </c>
      <c r="I28" s="58">
        <f t="shared" si="35"/>
        <v>40000</v>
      </c>
      <c r="J28" s="58">
        <f t="shared" si="35"/>
        <v>0</v>
      </c>
    </row>
    <row r="29" spans="1:10" ht="24.95" customHeight="1" x14ac:dyDescent="0.25">
      <c r="A29" s="182">
        <v>4</v>
      </c>
      <c r="B29" s="183"/>
      <c r="C29" s="184"/>
      <c r="D29" s="127" t="s">
        <v>15</v>
      </c>
      <c r="E29" s="40">
        <f t="shared" si="35"/>
        <v>0</v>
      </c>
      <c r="F29" s="40">
        <f t="shared" si="35"/>
        <v>5000</v>
      </c>
      <c r="G29" s="40">
        <f t="shared" si="35"/>
        <v>15000</v>
      </c>
      <c r="H29" s="40">
        <f t="shared" si="35"/>
        <v>42000</v>
      </c>
      <c r="I29" s="40">
        <f t="shared" si="35"/>
        <v>40000</v>
      </c>
      <c r="J29" s="40">
        <f t="shared" si="35"/>
        <v>0</v>
      </c>
    </row>
    <row r="30" spans="1:10" ht="24.95" customHeight="1" x14ac:dyDescent="0.25">
      <c r="A30" s="185">
        <v>42</v>
      </c>
      <c r="B30" s="186"/>
      <c r="C30" s="187"/>
      <c r="D30" s="127" t="s">
        <v>29</v>
      </c>
      <c r="E30" s="40"/>
      <c r="F30" s="40">
        <v>5000</v>
      </c>
      <c r="G30" s="40">
        <v>15000</v>
      </c>
      <c r="H30" s="40">
        <f>42000</f>
        <v>42000</v>
      </c>
      <c r="I30" s="40">
        <v>40000</v>
      </c>
      <c r="J30" s="41">
        <v>0</v>
      </c>
    </row>
    <row r="31" spans="1:10" ht="32.450000000000003" customHeight="1" x14ac:dyDescent="0.25">
      <c r="A31" s="176" t="s">
        <v>150</v>
      </c>
      <c r="B31" s="177"/>
      <c r="C31" s="178"/>
      <c r="D31" s="119" t="s">
        <v>151</v>
      </c>
      <c r="E31" s="52">
        <f>E33</f>
        <v>0</v>
      </c>
      <c r="F31" s="52">
        <f>F33</f>
        <v>80000</v>
      </c>
      <c r="G31" s="52">
        <f t="shared" ref="G31:J31" si="36">G33</f>
        <v>40000</v>
      </c>
      <c r="H31" s="52">
        <f t="shared" ref="H31" si="37">H33</f>
        <v>44031</v>
      </c>
      <c r="I31" s="52">
        <f t="shared" ref="I31" si="38">I33</f>
        <v>44031</v>
      </c>
      <c r="J31" s="52">
        <f t="shared" si="36"/>
        <v>44031</v>
      </c>
    </row>
    <row r="32" spans="1:10" s="61" customFormat="1" ht="24.95" customHeight="1" x14ac:dyDescent="0.25">
      <c r="A32" s="179" t="s">
        <v>69</v>
      </c>
      <c r="B32" s="180"/>
      <c r="C32" s="181"/>
      <c r="D32" s="128" t="s">
        <v>11</v>
      </c>
      <c r="E32" s="58">
        <f t="shared" ref="E32:E33" si="39">E33</f>
        <v>0</v>
      </c>
      <c r="F32" s="58">
        <f t="shared" ref="F32:J33" si="40">F33</f>
        <v>80000</v>
      </c>
      <c r="G32" s="58">
        <f t="shared" si="40"/>
        <v>40000</v>
      </c>
      <c r="H32" s="58">
        <f t="shared" si="40"/>
        <v>44031</v>
      </c>
      <c r="I32" s="58">
        <f t="shared" si="40"/>
        <v>44031</v>
      </c>
      <c r="J32" s="58">
        <f t="shared" si="40"/>
        <v>44031</v>
      </c>
    </row>
    <row r="33" spans="1:10" ht="24.95" customHeight="1" x14ac:dyDescent="0.25">
      <c r="A33" s="182">
        <v>4</v>
      </c>
      <c r="B33" s="183"/>
      <c r="C33" s="184"/>
      <c r="D33" s="120" t="s">
        <v>15</v>
      </c>
      <c r="E33" s="40">
        <f t="shared" si="39"/>
        <v>0</v>
      </c>
      <c r="F33" s="40">
        <f t="shared" si="40"/>
        <v>80000</v>
      </c>
      <c r="G33" s="40">
        <f t="shared" si="40"/>
        <v>40000</v>
      </c>
      <c r="H33" s="40">
        <f t="shared" si="40"/>
        <v>44031</v>
      </c>
      <c r="I33" s="40">
        <f t="shared" si="40"/>
        <v>44031</v>
      </c>
      <c r="J33" s="40">
        <f t="shared" si="40"/>
        <v>44031</v>
      </c>
    </row>
    <row r="34" spans="1:10" ht="24.95" customHeight="1" x14ac:dyDescent="0.25">
      <c r="A34" s="185">
        <v>45</v>
      </c>
      <c r="B34" s="186"/>
      <c r="C34" s="187"/>
      <c r="D34" s="35" t="s">
        <v>35</v>
      </c>
      <c r="E34" s="40"/>
      <c r="F34" s="40">
        <f>80000</f>
        <v>80000</v>
      </c>
      <c r="G34" s="40">
        <v>40000</v>
      </c>
      <c r="H34" s="40">
        <f>44031</f>
        <v>44031</v>
      </c>
      <c r="I34" s="40">
        <f>44031</f>
        <v>44031</v>
      </c>
      <c r="J34" s="40">
        <f>44031</f>
        <v>44031</v>
      </c>
    </row>
    <row r="35" spans="1:10" ht="32.450000000000003" customHeight="1" x14ac:dyDescent="0.25">
      <c r="A35" s="176" t="s">
        <v>51</v>
      </c>
      <c r="B35" s="177"/>
      <c r="C35" s="178"/>
      <c r="D35" s="46" t="s">
        <v>52</v>
      </c>
      <c r="E35" s="52">
        <f>E36+E39+E42+E49+E53+E62+E45</f>
        <v>3134875.36</v>
      </c>
      <c r="F35" s="52">
        <f t="shared" ref="F35:J35" si="41">F36+F39+F42+F49+F53+F62+F45</f>
        <v>3740997.23</v>
      </c>
      <c r="G35" s="52">
        <f t="shared" si="41"/>
        <v>3434700</v>
      </c>
      <c r="H35" s="52">
        <f t="shared" ref="H35" si="42">H36+H39+H42+H49+H53+H62+H45</f>
        <v>3536600</v>
      </c>
      <c r="I35" s="52">
        <f t="shared" ref="I35" si="43">I36+I39+I42+I49+I53+I62+I45</f>
        <v>3536600</v>
      </c>
      <c r="J35" s="52">
        <f t="shared" si="41"/>
        <v>3536600</v>
      </c>
    </row>
    <row r="36" spans="1:10" s="61" customFormat="1" ht="24.95" customHeight="1" x14ac:dyDescent="0.25">
      <c r="A36" s="179" t="s">
        <v>180</v>
      </c>
      <c r="B36" s="180"/>
      <c r="C36" s="181"/>
      <c r="D36" s="128" t="s">
        <v>152</v>
      </c>
      <c r="E36" s="58">
        <f t="shared" ref="E36:F37" si="44">E37</f>
        <v>0</v>
      </c>
      <c r="F36" s="58">
        <f t="shared" si="44"/>
        <v>990</v>
      </c>
      <c r="G36" s="58">
        <f t="shared" ref="G36:J37" si="45">G37</f>
        <v>0</v>
      </c>
      <c r="H36" s="58">
        <f t="shared" si="45"/>
        <v>0</v>
      </c>
      <c r="I36" s="58">
        <f t="shared" si="45"/>
        <v>0</v>
      </c>
      <c r="J36" s="58">
        <f t="shared" si="45"/>
        <v>0</v>
      </c>
    </row>
    <row r="37" spans="1:10" ht="24.95" customHeight="1" x14ac:dyDescent="0.25">
      <c r="A37" s="182">
        <v>3</v>
      </c>
      <c r="B37" s="183"/>
      <c r="C37" s="184"/>
      <c r="D37" s="47" t="s">
        <v>13</v>
      </c>
      <c r="E37" s="40">
        <f t="shared" si="44"/>
        <v>0</v>
      </c>
      <c r="F37" s="40">
        <f t="shared" si="44"/>
        <v>990</v>
      </c>
      <c r="G37" s="40">
        <f t="shared" si="45"/>
        <v>0</v>
      </c>
      <c r="H37" s="40">
        <f t="shared" si="45"/>
        <v>0</v>
      </c>
      <c r="I37" s="40">
        <f t="shared" si="45"/>
        <v>0</v>
      </c>
      <c r="J37" s="40">
        <f t="shared" si="45"/>
        <v>0</v>
      </c>
    </row>
    <row r="38" spans="1:10" ht="24.95" customHeight="1" x14ac:dyDescent="0.25">
      <c r="A38" s="185">
        <v>31</v>
      </c>
      <c r="B38" s="186"/>
      <c r="C38" s="187"/>
      <c r="D38" s="47" t="s">
        <v>94</v>
      </c>
      <c r="E38" s="40">
        <v>0</v>
      </c>
      <c r="F38" s="40">
        <v>990</v>
      </c>
      <c r="G38" s="40"/>
      <c r="H38" s="40"/>
      <c r="I38" s="40"/>
      <c r="J38" s="41"/>
    </row>
    <row r="39" spans="1:10" s="61" customFormat="1" ht="24.95" customHeight="1" x14ac:dyDescent="0.25">
      <c r="A39" s="179" t="s">
        <v>90</v>
      </c>
      <c r="B39" s="180"/>
      <c r="C39" s="181"/>
      <c r="D39" s="57" t="s">
        <v>74</v>
      </c>
      <c r="E39" s="58">
        <f t="shared" ref="E39:F40" si="46">E40</f>
        <v>0</v>
      </c>
      <c r="F39" s="58">
        <f t="shared" si="46"/>
        <v>0</v>
      </c>
      <c r="G39" s="58">
        <f t="shared" ref="G39:J40" si="47">G40</f>
        <v>0</v>
      </c>
      <c r="H39" s="58">
        <f t="shared" si="47"/>
        <v>0</v>
      </c>
      <c r="I39" s="58">
        <f t="shared" si="47"/>
        <v>0</v>
      </c>
      <c r="J39" s="58">
        <f t="shared" si="47"/>
        <v>0</v>
      </c>
    </row>
    <row r="40" spans="1:10" ht="24.95" customHeight="1" x14ac:dyDescent="0.25">
      <c r="A40" s="182">
        <v>3</v>
      </c>
      <c r="B40" s="183"/>
      <c r="C40" s="184"/>
      <c r="D40" s="47" t="s">
        <v>13</v>
      </c>
      <c r="E40" s="40">
        <f t="shared" si="46"/>
        <v>0</v>
      </c>
      <c r="F40" s="40">
        <f t="shared" si="46"/>
        <v>0</v>
      </c>
      <c r="G40" s="40">
        <f t="shared" si="47"/>
        <v>0</v>
      </c>
      <c r="H40" s="40">
        <f t="shared" si="47"/>
        <v>0</v>
      </c>
      <c r="I40" s="40">
        <f t="shared" si="47"/>
        <v>0</v>
      </c>
      <c r="J40" s="40">
        <f t="shared" si="47"/>
        <v>0</v>
      </c>
    </row>
    <row r="41" spans="1:10" ht="24.95" customHeight="1" x14ac:dyDescent="0.25">
      <c r="A41" s="185">
        <v>31</v>
      </c>
      <c r="B41" s="186"/>
      <c r="C41" s="187"/>
      <c r="D41" s="47" t="s">
        <v>93</v>
      </c>
      <c r="E41" s="40"/>
      <c r="F41" s="40"/>
      <c r="G41" s="40"/>
      <c r="H41" s="40"/>
      <c r="I41" s="40"/>
      <c r="J41" s="41"/>
    </row>
    <row r="42" spans="1:10" s="61" customFormat="1" ht="24.95" customHeight="1" x14ac:dyDescent="0.25">
      <c r="A42" s="179" t="s">
        <v>181</v>
      </c>
      <c r="B42" s="180"/>
      <c r="C42" s="181"/>
      <c r="D42" s="57" t="s">
        <v>89</v>
      </c>
      <c r="E42" s="58">
        <f t="shared" ref="E42:F43" si="48">E43</f>
        <v>0</v>
      </c>
      <c r="F42" s="58">
        <f t="shared" si="48"/>
        <v>0</v>
      </c>
      <c r="G42" s="58">
        <f t="shared" ref="G42:J45" si="49">G43</f>
        <v>0</v>
      </c>
      <c r="H42" s="58">
        <f t="shared" si="49"/>
        <v>0</v>
      </c>
      <c r="I42" s="58">
        <f t="shared" si="49"/>
        <v>0</v>
      </c>
      <c r="J42" s="58">
        <f t="shared" si="49"/>
        <v>0</v>
      </c>
    </row>
    <row r="43" spans="1:10" ht="24.95" customHeight="1" x14ac:dyDescent="0.25">
      <c r="A43" s="182">
        <v>3</v>
      </c>
      <c r="B43" s="183"/>
      <c r="C43" s="184"/>
      <c r="D43" s="47" t="s">
        <v>13</v>
      </c>
      <c r="E43" s="40">
        <f t="shared" si="48"/>
        <v>0</v>
      </c>
      <c r="F43" s="40">
        <f t="shared" si="48"/>
        <v>0</v>
      </c>
      <c r="G43" s="40">
        <f t="shared" si="49"/>
        <v>0</v>
      </c>
      <c r="H43" s="40">
        <f t="shared" si="49"/>
        <v>0</v>
      </c>
      <c r="I43" s="40">
        <f t="shared" si="49"/>
        <v>0</v>
      </c>
      <c r="J43" s="40">
        <f t="shared" si="49"/>
        <v>0</v>
      </c>
    </row>
    <row r="44" spans="1:10" ht="24.95" customHeight="1" x14ac:dyDescent="0.25">
      <c r="A44" s="185">
        <v>31</v>
      </c>
      <c r="B44" s="186"/>
      <c r="C44" s="187"/>
      <c r="D44" s="47" t="s">
        <v>14</v>
      </c>
      <c r="E44" s="40"/>
      <c r="F44" s="40"/>
      <c r="G44" s="40"/>
      <c r="H44" s="40"/>
      <c r="I44" s="40"/>
      <c r="J44" s="41"/>
    </row>
    <row r="45" spans="1:10" s="61" customFormat="1" ht="24.95" customHeight="1" x14ac:dyDescent="0.25">
      <c r="A45" s="179" t="s">
        <v>136</v>
      </c>
      <c r="B45" s="180"/>
      <c r="C45" s="181"/>
      <c r="D45" s="118" t="s">
        <v>44</v>
      </c>
      <c r="E45" s="58">
        <f t="shared" ref="E45" si="50">E46</f>
        <v>0</v>
      </c>
      <c r="F45" s="58">
        <f t="shared" ref="F45" si="51">F46</f>
        <v>0</v>
      </c>
      <c r="G45" s="58">
        <f t="shared" si="49"/>
        <v>0</v>
      </c>
      <c r="H45" s="58">
        <f t="shared" si="49"/>
        <v>0</v>
      </c>
      <c r="I45" s="58">
        <f t="shared" si="49"/>
        <v>0</v>
      </c>
      <c r="J45" s="58">
        <f t="shared" si="49"/>
        <v>0</v>
      </c>
    </row>
    <row r="46" spans="1:10" ht="24.95" customHeight="1" x14ac:dyDescent="0.25">
      <c r="A46" s="182">
        <v>3</v>
      </c>
      <c r="B46" s="183"/>
      <c r="C46" s="184"/>
      <c r="D46" s="120" t="s">
        <v>13</v>
      </c>
      <c r="E46" s="40">
        <f>E47+E48</f>
        <v>0</v>
      </c>
      <c r="F46" s="40">
        <f t="shared" ref="F46:J46" si="52">F47+F48</f>
        <v>0</v>
      </c>
      <c r="G46" s="40">
        <f t="shared" si="52"/>
        <v>0</v>
      </c>
      <c r="H46" s="40">
        <f t="shared" ref="H46" si="53">H47+H48</f>
        <v>0</v>
      </c>
      <c r="I46" s="40">
        <f t="shared" ref="I46" si="54">I47+I48</f>
        <v>0</v>
      </c>
      <c r="J46" s="40">
        <f t="shared" si="52"/>
        <v>0</v>
      </c>
    </row>
    <row r="47" spans="1:10" ht="24.95" customHeight="1" x14ac:dyDescent="0.25">
      <c r="A47" s="185">
        <v>31</v>
      </c>
      <c r="B47" s="186"/>
      <c r="C47" s="187"/>
      <c r="D47" s="120" t="s">
        <v>14</v>
      </c>
      <c r="E47" s="40"/>
      <c r="F47" s="40"/>
      <c r="G47" s="40"/>
      <c r="H47" s="40"/>
      <c r="I47" s="40"/>
      <c r="J47" s="41"/>
    </row>
    <row r="48" spans="1:10" ht="24.95" customHeight="1" x14ac:dyDescent="0.25">
      <c r="A48" s="185">
        <v>32</v>
      </c>
      <c r="B48" s="186"/>
      <c r="C48" s="187"/>
      <c r="D48" s="120" t="s">
        <v>83</v>
      </c>
      <c r="E48" s="40"/>
      <c r="F48" s="40"/>
      <c r="G48" s="40"/>
      <c r="H48" s="40"/>
      <c r="I48" s="40"/>
      <c r="J48" s="41"/>
    </row>
    <row r="49" spans="1:10" s="61" customFormat="1" ht="24.95" customHeight="1" x14ac:dyDescent="0.25">
      <c r="A49" s="179" t="s">
        <v>81</v>
      </c>
      <c r="B49" s="180"/>
      <c r="C49" s="181"/>
      <c r="D49" s="57" t="s">
        <v>78</v>
      </c>
      <c r="E49" s="58">
        <f>E50</f>
        <v>17353.7</v>
      </c>
      <c r="F49" s="58">
        <f>F50</f>
        <v>0</v>
      </c>
      <c r="G49" s="58">
        <f t="shared" ref="G49:J49" si="55">G50</f>
        <v>0</v>
      </c>
      <c r="H49" s="58">
        <f t="shared" si="55"/>
        <v>0</v>
      </c>
      <c r="I49" s="58">
        <f t="shared" si="55"/>
        <v>0</v>
      </c>
      <c r="J49" s="58">
        <f t="shared" si="55"/>
        <v>0</v>
      </c>
    </row>
    <row r="50" spans="1:10" ht="24.95" customHeight="1" x14ac:dyDescent="0.25">
      <c r="A50" s="182">
        <v>3</v>
      </c>
      <c r="B50" s="183"/>
      <c r="C50" s="184"/>
      <c r="D50" s="47" t="s">
        <v>13</v>
      </c>
      <c r="E50" s="40">
        <f>E51+E52</f>
        <v>17353.7</v>
      </c>
      <c r="F50" s="40">
        <f>F51+F52</f>
        <v>0</v>
      </c>
      <c r="G50" s="40">
        <f t="shared" ref="G50:J50" si="56">G51+G52</f>
        <v>0</v>
      </c>
      <c r="H50" s="40">
        <f t="shared" ref="H50" si="57">H51+H52</f>
        <v>0</v>
      </c>
      <c r="I50" s="40">
        <f t="shared" ref="I50" si="58">I51+I52</f>
        <v>0</v>
      </c>
      <c r="J50" s="40">
        <f t="shared" si="56"/>
        <v>0</v>
      </c>
    </row>
    <row r="51" spans="1:10" ht="24.95" customHeight="1" x14ac:dyDescent="0.25">
      <c r="A51" s="185">
        <v>31</v>
      </c>
      <c r="B51" s="186"/>
      <c r="C51" s="187"/>
      <c r="D51" s="47" t="s">
        <v>14</v>
      </c>
      <c r="E51" s="40">
        <v>17035.14</v>
      </c>
      <c r="F51" s="40"/>
      <c r="G51" s="40"/>
      <c r="H51" s="40"/>
      <c r="I51" s="40"/>
      <c r="J51" s="41"/>
    </row>
    <row r="52" spans="1:10" ht="24.95" customHeight="1" x14ac:dyDescent="0.25">
      <c r="A52" s="185">
        <v>32</v>
      </c>
      <c r="B52" s="186"/>
      <c r="C52" s="187"/>
      <c r="D52" s="47" t="s">
        <v>83</v>
      </c>
      <c r="E52" s="40">
        <v>318.56</v>
      </c>
      <c r="F52" s="40"/>
      <c r="G52" s="40"/>
      <c r="H52" s="40"/>
      <c r="I52" s="40"/>
      <c r="J52" s="41"/>
    </row>
    <row r="53" spans="1:10" s="61" customFormat="1" ht="24.95" customHeight="1" x14ac:dyDescent="0.25">
      <c r="A53" s="179" t="s">
        <v>182</v>
      </c>
      <c r="B53" s="180"/>
      <c r="C53" s="181"/>
      <c r="D53" s="57" t="s">
        <v>80</v>
      </c>
      <c r="E53" s="58">
        <f>E54</f>
        <v>3117521.6599999997</v>
      </c>
      <c r="F53" s="58">
        <f>F54</f>
        <v>3740007.23</v>
      </c>
      <c r="G53" s="58">
        <f t="shared" ref="G53:J53" si="59">G54</f>
        <v>3434400</v>
      </c>
      <c r="H53" s="58">
        <f t="shared" si="59"/>
        <v>3536300</v>
      </c>
      <c r="I53" s="58">
        <f t="shared" si="59"/>
        <v>3536300</v>
      </c>
      <c r="J53" s="58">
        <f t="shared" si="59"/>
        <v>3536300</v>
      </c>
    </row>
    <row r="54" spans="1:10" ht="24.95" customHeight="1" x14ac:dyDescent="0.25">
      <c r="A54" s="182">
        <v>3</v>
      </c>
      <c r="B54" s="183"/>
      <c r="C54" s="184"/>
      <c r="D54" s="26" t="s">
        <v>13</v>
      </c>
      <c r="E54" s="40">
        <f>E55+E58</f>
        <v>3117521.6599999997</v>
      </c>
      <c r="F54" s="40">
        <f>F55+F58</f>
        <v>3740007.23</v>
      </c>
      <c r="G54" s="40">
        <f t="shared" ref="G54:J54" si="60">G55+G58</f>
        <v>3434400</v>
      </c>
      <c r="H54" s="40">
        <f t="shared" ref="H54" si="61">H55+H58</f>
        <v>3536300</v>
      </c>
      <c r="I54" s="40">
        <f t="shared" ref="I54" si="62">I55+I58</f>
        <v>3536300</v>
      </c>
      <c r="J54" s="40">
        <f t="shared" si="60"/>
        <v>3536300</v>
      </c>
    </row>
    <row r="55" spans="1:10" ht="24.95" customHeight="1" x14ac:dyDescent="0.25">
      <c r="A55" s="185">
        <v>31</v>
      </c>
      <c r="B55" s="186"/>
      <c r="C55" s="187"/>
      <c r="D55" s="26" t="s">
        <v>14</v>
      </c>
      <c r="E55" s="40">
        <f>E56+E57</f>
        <v>3063984.4</v>
      </c>
      <c r="F55" s="40">
        <f>F56+F57</f>
        <v>3672707.23</v>
      </c>
      <c r="G55" s="40">
        <f t="shared" ref="G55:J55" si="63">G56+G57</f>
        <v>3370400</v>
      </c>
      <c r="H55" s="40">
        <f t="shared" ref="H55" si="64">H56+H57</f>
        <v>3466900</v>
      </c>
      <c r="I55" s="40">
        <f t="shared" ref="I55" si="65">I56+I57</f>
        <v>3466900</v>
      </c>
      <c r="J55" s="40">
        <f t="shared" si="63"/>
        <v>3466900</v>
      </c>
    </row>
    <row r="56" spans="1:10" ht="24.95" customHeight="1" x14ac:dyDescent="0.25">
      <c r="A56" s="48"/>
      <c r="B56" s="49"/>
      <c r="C56" s="50"/>
      <c r="D56" s="55" t="s">
        <v>84</v>
      </c>
      <c r="E56" s="56">
        <v>3063984.4</v>
      </c>
      <c r="F56" s="56">
        <f>(3070000+126707.23+476000)-F57</f>
        <v>3671007.23</v>
      </c>
      <c r="G56" s="56">
        <f>(2800000+123400+447000)-G57</f>
        <v>3368700</v>
      </c>
      <c r="H56" s="56">
        <f>2885000+122200+458000</f>
        <v>3465200</v>
      </c>
      <c r="I56" s="56">
        <f t="shared" ref="I56:J56" si="66">2885000+122200+458000</f>
        <v>3465200</v>
      </c>
      <c r="J56" s="56">
        <f t="shared" si="66"/>
        <v>3465200</v>
      </c>
    </row>
    <row r="57" spans="1:10" ht="24.95" customHeight="1" x14ac:dyDescent="0.25">
      <c r="A57" s="48"/>
      <c r="B57" s="49"/>
      <c r="C57" s="50"/>
      <c r="D57" s="55" t="s">
        <v>85</v>
      </c>
      <c r="E57" s="56">
        <v>0</v>
      </c>
      <c r="F57" s="56">
        <v>1700</v>
      </c>
      <c r="G57" s="56">
        <v>1700</v>
      </c>
      <c r="H57" s="56">
        <f>1700</f>
        <v>1700</v>
      </c>
      <c r="I57" s="56">
        <v>1700</v>
      </c>
      <c r="J57" s="64">
        <v>1700</v>
      </c>
    </row>
    <row r="58" spans="1:10" s="124" customFormat="1" ht="24.95" customHeight="1" x14ac:dyDescent="0.25">
      <c r="A58" s="188">
        <v>32</v>
      </c>
      <c r="B58" s="189"/>
      <c r="C58" s="190"/>
      <c r="D58" s="123" t="s">
        <v>23</v>
      </c>
      <c r="E58" s="88">
        <f>E59+E60+E61</f>
        <v>53537.26</v>
      </c>
      <c r="F58" s="88">
        <f>F59+F60+F61</f>
        <v>67300</v>
      </c>
      <c r="G58" s="88">
        <f t="shared" ref="G58:J58" si="67">G59+G60+G61</f>
        <v>64000</v>
      </c>
      <c r="H58" s="88">
        <f t="shared" ref="H58" si="68">H59+H60+H61</f>
        <v>69400</v>
      </c>
      <c r="I58" s="88">
        <f t="shared" ref="I58" si="69">I59+I60+I61</f>
        <v>69400</v>
      </c>
      <c r="J58" s="88">
        <f t="shared" si="67"/>
        <v>69400</v>
      </c>
    </row>
    <row r="59" spans="1:10" ht="24.95" customHeight="1" x14ac:dyDescent="0.25">
      <c r="A59" s="48"/>
      <c r="B59" s="49"/>
      <c r="C59" s="50"/>
      <c r="D59" s="55" t="s">
        <v>86</v>
      </c>
      <c r="E59" s="56">
        <v>43959.47</v>
      </c>
      <c r="F59" s="56">
        <v>57000</v>
      </c>
      <c r="G59" s="56">
        <v>55000</v>
      </c>
      <c r="H59" s="56">
        <v>61000</v>
      </c>
      <c r="I59" s="56">
        <v>61000</v>
      </c>
      <c r="J59" s="56">
        <v>61000</v>
      </c>
    </row>
    <row r="60" spans="1:10" ht="24.95" customHeight="1" x14ac:dyDescent="0.25">
      <c r="A60" s="48"/>
      <c r="B60" s="49"/>
      <c r="C60" s="50"/>
      <c r="D60" s="55" t="s">
        <v>87</v>
      </c>
      <c r="E60" s="56">
        <v>7952</v>
      </c>
      <c r="F60" s="56">
        <v>8000</v>
      </c>
      <c r="G60" s="56">
        <v>7000</v>
      </c>
      <c r="H60" s="56">
        <v>6000</v>
      </c>
      <c r="I60" s="56">
        <v>6000</v>
      </c>
      <c r="J60" s="56">
        <v>6000</v>
      </c>
    </row>
    <row r="61" spans="1:10" ht="24.95" customHeight="1" x14ac:dyDescent="0.25">
      <c r="A61" s="48"/>
      <c r="B61" s="49"/>
      <c r="C61" s="50"/>
      <c r="D61" s="55" t="s">
        <v>88</v>
      </c>
      <c r="E61" s="56">
        <v>1625.79</v>
      </c>
      <c r="F61" s="56">
        <v>2300</v>
      </c>
      <c r="G61" s="56">
        <v>2000</v>
      </c>
      <c r="H61" s="56">
        <v>2400</v>
      </c>
      <c r="I61" s="56">
        <v>2400</v>
      </c>
      <c r="J61" s="56">
        <v>2400</v>
      </c>
    </row>
    <row r="62" spans="1:10" s="61" customFormat="1" ht="24.95" customHeight="1" x14ac:dyDescent="0.25">
      <c r="A62" s="179" t="s">
        <v>183</v>
      </c>
      <c r="B62" s="180"/>
      <c r="C62" s="181"/>
      <c r="D62" s="57" t="s">
        <v>42</v>
      </c>
      <c r="E62" s="58">
        <f t="shared" ref="E62:F63" si="70">E63</f>
        <v>0</v>
      </c>
      <c r="F62" s="58">
        <f t="shared" si="70"/>
        <v>0</v>
      </c>
      <c r="G62" s="58">
        <f t="shared" ref="G62:J63" si="71">G63</f>
        <v>300</v>
      </c>
      <c r="H62" s="58">
        <f t="shared" si="71"/>
        <v>300</v>
      </c>
      <c r="I62" s="58">
        <f t="shared" si="71"/>
        <v>300</v>
      </c>
      <c r="J62" s="58">
        <f t="shared" si="71"/>
        <v>300</v>
      </c>
    </row>
    <row r="63" spans="1:10" ht="24.95" customHeight="1" x14ac:dyDescent="0.25">
      <c r="A63" s="182">
        <v>3</v>
      </c>
      <c r="B63" s="183"/>
      <c r="C63" s="184"/>
      <c r="D63" s="47" t="s">
        <v>13</v>
      </c>
      <c r="E63" s="40">
        <f t="shared" si="70"/>
        <v>0</v>
      </c>
      <c r="F63" s="40">
        <f t="shared" si="70"/>
        <v>0</v>
      </c>
      <c r="G63" s="40">
        <f t="shared" si="71"/>
        <v>300</v>
      </c>
      <c r="H63" s="40">
        <f t="shared" si="71"/>
        <v>300</v>
      </c>
      <c r="I63" s="40">
        <f t="shared" si="71"/>
        <v>300</v>
      </c>
      <c r="J63" s="40">
        <f t="shared" si="71"/>
        <v>300</v>
      </c>
    </row>
    <row r="64" spans="1:10" ht="24.95" customHeight="1" x14ac:dyDescent="0.25">
      <c r="A64" s="185">
        <v>31</v>
      </c>
      <c r="B64" s="186"/>
      <c r="C64" s="187"/>
      <c r="D64" s="47" t="s">
        <v>95</v>
      </c>
      <c r="E64" s="40">
        <v>0</v>
      </c>
      <c r="F64" s="40"/>
      <c r="G64" s="40">
        <v>300</v>
      </c>
      <c r="H64" s="40">
        <v>300</v>
      </c>
      <c r="I64" s="40">
        <v>300</v>
      </c>
      <c r="J64" s="41">
        <v>300</v>
      </c>
    </row>
    <row r="65" spans="1:10" ht="24.95" customHeight="1" x14ac:dyDescent="0.25">
      <c r="A65" s="176" t="s">
        <v>53</v>
      </c>
      <c r="B65" s="177"/>
      <c r="C65" s="178"/>
      <c r="D65" s="46" t="s">
        <v>54</v>
      </c>
      <c r="E65" s="52">
        <f t="shared" ref="E65" si="72">E66+E70+E73+E77+E83+E88+E92+E94+E81+E79</f>
        <v>371815.76</v>
      </c>
      <c r="F65" s="52">
        <f>F66+F70+F73+F77+F83+F88+F92+F94+F81+F79</f>
        <v>432190.97000000003</v>
      </c>
      <c r="G65" s="52">
        <f t="shared" ref="G65:J65" si="73">G66+G70+G73+G77+G83+G88+G92+G94+G81+G79</f>
        <v>407740</v>
      </c>
      <c r="H65" s="52">
        <f t="shared" ref="H65" si="74">H66+H70+H73+H77+H83+H88+H92+H94+H81+H79</f>
        <v>424515.49</v>
      </c>
      <c r="I65" s="52">
        <f t="shared" ref="I65" si="75">I66+I70+I73+I77+I83+I88+I92+I94+I81+I79</f>
        <v>411510.49</v>
      </c>
      <c r="J65" s="52">
        <f t="shared" si="73"/>
        <v>411510.49</v>
      </c>
    </row>
    <row r="66" spans="1:10" s="62" customFormat="1" ht="24.95" customHeight="1" x14ac:dyDescent="0.2">
      <c r="A66" s="179" t="s">
        <v>70</v>
      </c>
      <c r="B66" s="180"/>
      <c r="C66" s="181"/>
      <c r="D66" s="57" t="s">
        <v>71</v>
      </c>
      <c r="E66" s="58">
        <f>E67</f>
        <v>748.27</v>
      </c>
      <c r="F66" s="58">
        <f>F67</f>
        <v>2470</v>
      </c>
      <c r="G66" s="58">
        <f t="shared" ref="G66:J66" si="76">G67</f>
        <v>2200</v>
      </c>
      <c r="H66" s="58">
        <f t="shared" si="76"/>
        <v>2150</v>
      </c>
      <c r="I66" s="58">
        <f t="shared" si="76"/>
        <v>2150</v>
      </c>
      <c r="J66" s="58">
        <f t="shared" si="76"/>
        <v>2150</v>
      </c>
    </row>
    <row r="67" spans="1:10" ht="24.95" customHeight="1" x14ac:dyDescent="0.25">
      <c r="A67" s="182">
        <v>3</v>
      </c>
      <c r="B67" s="183"/>
      <c r="C67" s="184"/>
      <c r="D67" s="26" t="s">
        <v>13</v>
      </c>
      <c r="E67" s="40">
        <f>E68+E69</f>
        <v>748.27</v>
      </c>
      <c r="F67" s="40">
        <f>F68+F69</f>
        <v>2470</v>
      </c>
      <c r="G67" s="40">
        <f t="shared" ref="G67:J67" si="77">G68+G69</f>
        <v>2200</v>
      </c>
      <c r="H67" s="40">
        <f t="shared" ref="H67" si="78">H68+H69</f>
        <v>2150</v>
      </c>
      <c r="I67" s="40">
        <f t="shared" ref="I67" si="79">I68+I69</f>
        <v>2150</v>
      </c>
      <c r="J67" s="40">
        <f t="shared" si="77"/>
        <v>2150</v>
      </c>
    </row>
    <row r="68" spans="1:10" ht="24.95" customHeight="1" x14ac:dyDescent="0.25">
      <c r="A68" s="185">
        <v>32</v>
      </c>
      <c r="B68" s="186"/>
      <c r="C68" s="187"/>
      <c r="D68" s="47" t="s">
        <v>96</v>
      </c>
      <c r="E68" s="40">
        <v>748.27</v>
      </c>
      <c r="F68" s="40">
        <f>300+100+200+320+100+100+50+100+600+200+100+100+100</f>
        <v>2370</v>
      </c>
      <c r="G68" s="40">
        <f>300+130+220+50+100+100+500+100+50+100+100+100+50+150+100</f>
        <v>2150</v>
      </c>
      <c r="H68" s="40">
        <f>100+100+100+200+50+100+100+500+100+50+100+100+100+100+50+100+100</f>
        <v>2050</v>
      </c>
      <c r="I68" s="40">
        <f t="shared" ref="I68:J68" si="80">100+100+100+200+50+100+100+500+100+50+100+100+100+100+50+100+100</f>
        <v>2050</v>
      </c>
      <c r="J68" s="40">
        <f t="shared" si="80"/>
        <v>2050</v>
      </c>
    </row>
    <row r="69" spans="1:10" ht="36.75" customHeight="1" x14ac:dyDescent="0.25">
      <c r="A69" s="185">
        <v>37</v>
      </c>
      <c r="B69" s="186"/>
      <c r="C69" s="187"/>
      <c r="D69" s="53" t="s">
        <v>97</v>
      </c>
      <c r="E69" s="40">
        <v>0</v>
      </c>
      <c r="F69" s="40">
        <f>100</f>
        <v>100</v>
      </c>
      <c r="G69" s="40">
        <v>50</v>
      </c>
      <c r="H69" s="40">
        <f>100</f>
        <v>100</v>
      </c>
      <c r="I69" s="40">
        <f>100</f>
        <v>100</v>
      </c>
      <c r="J69" s="40">
        <f>100</f>
        <v>100</v>
      </c>
    </row>
    <row r="70" spans="1:10" s="62" customFormat="1" ht="24.95" customHeight="1" x14ac:dyDescent="0.2">
      <c r="A70" s="179" t="s">
        <v>90</v>
      </c>
      <c r="B70" s="180"/>
      <c r="C70" s="181"/>
      <c r="D70" s="57" t="s">
        <v>74</v>
      </c>
      <c r="E70" s="58">
        <f>E72+E71</f>
        <v>1308.75</v>
      </c>
      <c r="F70" s="58">
        <f t="shared" ref="F70" si="81">F72+F71</f>
        <v>2151.9899999999998</v>
      </c>
      <c r="G70" s="58">
        <f>G72+G71</f>
        <v>1400</v>
      </c>
      <c r="H70" s="58">
        <f>H72+H71</f>
        <v>2171.08</v>
      </c>
      <c r="I70" s="58">
        <f>I72+I71</f>
        <v>0</v>
      </c>
      <c r="J70" s="58">
        <f>J72+J71</f>
        <v>0</v>
      </c>
    </row>
    <row r="71" spans="1:10" s="62" customFormat="1" ht="24.95" customHeight="1" x14ac:dyDescent="0.2">
      <c r="A71" s="185">
        <v>32</v>
      </c>
      <c r="B71" s="186"/>
      <c r="C71" s="187"/>
      <c r="D71" s="86" t="s">
        <v>23</v>
      </c>
      <c r="E71" s="89">
        <v>1308.75</v>
      </c>
      <c r="F71" s="89">
        <f>700+45+342.95+434.04+300+30+300</f>
        <v>2151.9899999999998</v>
      </c>
      <c r="G71" s="89">
        <f>800+600</f>
        <v>1400</v>
      </c>
      <c r="H71" s="89">
        <f>250+402+100+341.73+200+450+50+377.35</f>
        <v>2171.08</v>
      </c>
      <c r="I71" s="89">
        <v>0</v>
      </c>
      <c r="J71" s="89">
        <v>0</v>
      </c>
    </row>
    <row r="72" spans="1:10" ht="27.75" customHeight="1" x14ac:dyDescent="0.25">
      <c r="A72" s="185">
        <v>37</v>
      </c>
      <c r="B72" s="186"/>
      <c r="C72" s="187"/>
      <c r="D72" s="53" t="s">
        <v>34</v>
      </c>
      <c r="E72" s="40">
        <v>0</v>
      </c>
      <c r="F72" s="40"/>
      <c r="G72" s="40"/>
      <c r="H72" s="40"/>
      <c r="I72" s="40"/>
      <c r="J72" s="41"/>
    </row>
    <row r="73" spans="1:10" s="62" customFormat="1" ht="24.95" customHeight="1" x14ac:dyDescent="0.2">
      <c r="A73" s="179" t="s">
        <v>181</v>
      </c>
      <c r="B73" s="180"/>
      <c r="C73" s="181"/>
      <c r="D73" s="57" t="s">
        <v>98</v>
      </c>
      <c r="E73" s="58">
        <f>E74</f>
        <v>67507.009999999995</v>
      </c>
      <c r="F73" s="58">
        <f>F74</f>
        <v>80550</v>
      </c>
      <c r="G73" s="58">
        <f t="shared" ref="G73:J73" si="82">G74</f>
        <v>80550</v>
      </c>
      <c r="H73" s="58">
        <f t="shared" si="82"/>
        <v>90950</v>
      </c>
      <c r="I73" s="58">
        <f t="shared" si="82"/>
        <v>90950</v>
      </c>
      <c r="J73" s="58">
        <f t="shared" si="82"/>
        <v>90950</v>
      </c>
    </row>
    <row r="74" spans="1:10" ht="24.95" customHeight="1" x14ac:dyDescent="0.25">
      <c r="A74" s="182">
        <v>3</v>
      </c>
      <c r="B74" s="183"/>
      <c r="C74" s="184"/>
      <c r="D74" s="26" t="s">
        <v>13</v>
      </c>
      <c r="E74" s="40">
        <f>E75+E76</f>
        <v>67507.009999999995</v>
      </c>
      <c r="F74" s="40">
        <f>F75+F76</f>
        <v>80550</v>
      </c>
      <c r="G74" s="40">
        <f t="shared" ref="G74:J74" si="83">G75+G76</f>
        <v>80550</v>
      </c>
      <c r="H74" s="40">
        <f t="shared" ref="H74" si="84">H75+H76</f>
        <v>90950</v>
      </c>
      <c r="I74" s="40">
        <f t="shared" ref="I74" si="85">I75+I76</f>
        <v>90950</v>
      </c>
      <c r="J74" s="40">
        <f t="shared" si="83"/>
        <v>90950</v>
      </c>
    </row>
    <row r="75" spans="1:10" ht="24.95" customHeight="1" x14ac:dyDescent="0.25">
      <c r="A75" s="185">
        <v>32</v>
      </c>
      <c r="B75" s="186"/>
      <c r="C75" s="187"/>
      <c r="D75" s="47" t="s">
        <v>23</v>
      </c>
      <c r="E75" s="40">
        <v>67507.009999999995</v>
      </c>
      <c r="F75" s="40">
        <f>300+4800+1000+2000+1000+5000+1500+2000+100+2300+3400+1000+45000+10250+400</f>
        <v>80050</v>
      </c>
      <c r="G75" s="40">
        <f>300+4800+1000+2000+1000+5000+1500+2000+100+2300+3400+1000+45000+10250+400</f>
        <v>80050</v>
      </c>
      <c r="H75" s="40">
        <f>90650</f>
        <v>90650</v>
      </c>
      <c r="I75" s="40">
        <f t="shared" ref="I75:J75" si="86">90650</f>
        <v>90650</v>
      </c>
      <c r="J75" s="40">
        <f t="shared" si="86"/>
        <v>90650</v>
      </c>
    </row>
    <row r="76" spans="1:10" ht="24.95" customHeight="1" x14ac:dyDescent="0.25">
      <c r="A76" s="185">
        <v>37</v>
      </c>
      <c r="B76" s="186"/>
      <c r="C76" s="187"/>
      <c r="D76" s="53" t="s">
        <v>34</v>
      </c>
      <c r="E76" s="40">
        <v>0</v>
      </c>
      <c r="F76" s="40">
        <f>500</f>
        <v>500</v>
      </c>
      <c r="G76" s="40">
        <v>500</v>
      </c>
      <c r="H76" s="40">
        <v>300</v>
      </c>
      <c r="I76" s="40">
        <v>300</v>
      </c>
      <c r="J76" s="40">
        <v>300</v>
      </c>
    </row>
    <row r="77" spans="1:10" s="62" customFormat="1" ht="24.95" customHeight="1" x14ac:dyDescent="0.2">
      <c r="A77" s="179" t="s">
        <v>91</v>
      </c>
      <c r="B77" s="180"/>
      <c r="C77" s="181"/>
      <c r="D77" s="57" t="s">
        <v>76</v>
      </c>
      <c r="E77" s="58">
        <f>E78</f>
        <v>1700</v>
      </c>
      <c r="F77" s="58">
        <f>F78</f>
        <v>6537.12</v>
      </c>
      <c r="G77" s="58">
        <f t="shared" ref="G77:J79" si="87">G78</f>
        <v>3000</v>
      </c>
      <c r="H77" s="58">
        <f t="shared" si="87"/>
        <v>6261.44</v>
      </c>
      <c r="I77" s="58">
        <f t="shared" si="87"/>
        <v>0</v>
      </c>
      <c r="J77" s="58">
        <f t="shared" si="87"/>
        <v>0</v>
      </c>
    </row>
    <row r="78" spans="1:10" ht="24.95" customHeight="1" x14ac:dyDescent="0.25">
      <c r="A78" s="185">
        <v>32</v>
      </c>
      <c r="B78" s="186"/>
      <c r="C78" s="187"/>
      <c r="D78" s="47" t="s">
        <v>23</v>
      </c>
      <c r="E78" s="40">
        <v>1700</v>
      </c>
      <c r="F78" s="40">
        <f>3219.24+3317.88</f>
        <v>6537.12</v>
      </c>
      <c r="G78" s="40">
        <v>3000</v>
      </c>
      <c r="H78" s="40">
        <f>368.93+2593.5+2420.21+40+107.55+731.25</f>
        <v>6261.44</v>
      </c>
      <c r="I78" s="40">
        <v>0</v>
      </c>
      <c r="J78" s="41">
        <v>0</v>
      </c>
    </row>
    <row r="79" spans="1:10" s="62" customFormat="1" ht="24.95" customHeight="1" x14ac:dyDescent="0.2">
      <c r="A79" s="179" t="s">
        <v>180</v>
      </c>
      <c r="B79" s="180"/>
      <c r="C79" s="181"/>
      <c r="D79" s="118" t="s">
        <v>152</v>
      </c>
      <c r="E79" s="58">
        <f>E80</f>
        <v>3818.14</v>
      </c>
      <c r="F79" s="58">
        <f>F80</f>
        <v>198</v>
      </c>
      <c r="G79" s="58">
        <f t="shared" si="87"/>
        <v>0</v>
      </c>
      <c r="H79" s="58">
        <f t="shared" si="87"/>
        <v>0</v>
      </c>
      <c r="I79" s="58">
        <f t="shared" si="87"/>
        <v>0</v>
      </c>
      <c r="J79" s="58">
        <f t="shared" si="87"/>
        <v>0</v>
      </c>
    </row>
    <row r="80" spans="1:10" ht="24.95" customHeight="1" x14ac:dyDescent="0.25">
      <c r="A80" s="185">
        <v>32</v>
      </c>
      <c r="B80" s="186"/>
      <c r="C80" s="187"/>
      <c r="D80" s="120" t="s">
        <v>23</v>
      </c>
      <c r="E80" s="40">
        <v>3818.14</v>
      </c>
      <c r="F80" s="40">
        <v>198</v>
      </c>
      <c r="G80" s="40"/>
      <c r="H80" s="40"/>
      <c r="I80" s="40"/>
      <c r="J80" s="41"/>
    </row>
    <row r="81" spans="1:10" ht="24.95" customHeight="1" x14ac:dyDescent="0.25">
      <c r="A81" s="179" t="s">
        <v>116</v>
      </c>
      <c r="B81" s="180"/>
      <c r="C81" s="181"/>
      <c r="D81" s="87" t="s">
        <v>118</v>
      </c>
      <c r="E81" s="90">
        <f>E82</f>
        <v>4718.59</v>
      </c>
      <c r="F81" s="90">
        <f t="shared" ref="F81:J81" si="88">F82</f>
        <v>1134.77</v>
      </c>
      <c r="G81" s="90">
        <f t="shared" si="88"/>
        <v>0</v>
      </c>
      <c r="H81" s="90">
        <f t="shared" si="88"/>
        <v>0</v>
      </c>
      <c r="I81" s="90">
        <f t="shared" si="88"/>
        <v>0</v>
      </c>
      <c r="J81" s="90">
        <f t="shared" si="88"/>
        <v>0</v>
      </c>
    </row>
    <row r="82" spans="1:10" ht="24.95" customHeight="1" x14ac:dyDescent="0.25">
      <c r="A82" s="185">
        <v>32</v>
      </c>
      <c r="B82" s="186"/>
      <c r="C82" s="187"/>
      <c r="D82" s="86" t="s">
        <v>23</v>
      </c>
      <c r="E82" s="40">
        <v>4718.59</v>
      </c>
      <c r="F82" s="40">
        <f>1134.77</f>
        <v>1134.77</v>
      </c>
      <c r="G82" s="40"/>
      <c r="H82" s="40"/>
      <c r="I82" s="40"/>
      <c r="J82" s="41"/>
    </row>
    <row r="83" spans="1:10" s="62" customFormat="1" ht="24.95" customHeight="1" x14ac:dyDescent="0.2">
      <c r="A83" s="179" t="s">
        <v>192</v>
      </c>
      <c r="B83" s="180"/>
      <c r="C83" s="181"/>
      <c r="D83" s="57" t="s">
        <v>40</v>
      </c>
      <c r="E83" s="58">
        <f>E84</f>
        <v>289806.96000000002</v>
      </c>
      <c r="F83" s="58">
        <f>F84</f>
        <v>333448</v>
      </c>
      <c r="G83" s="58">
        <f t="shared" ref="G83:J83" si="89">G84</f>
        <v>316440</v>
      </c>
      <c r="H83" s="58">
        <f t="shared" si="89"/>
        <v>318360.49</v>
      </c>
      <c r="I83" s="58">
        <f t="shared" si="89"/>
        <v>318360.49</v>
      </c>
      <c r="J83" s="58">
        <f t="shared" si="89"/>
        <v>318360.49</v>
      </c>
    </row>
    <row r="84" spans="1:10" ht="24.95" customHeight="1" x14ac:dyDescent="0.25">
      <c r="A84" s="182">
        <v>3</v>
      </c>
      <c r="B84" s="183"/>
      <c r="C84" s="184"/>
      <c r="D84" s="47" t="s">
        <v>13</v>
      </c>
      <c r="E84" s="40">
        <f>E85+E87+E86</f>
        <v>289806.96000000002</v>
      </c>
      <c r="F84" s="40">
        <f t="shared" ref="F84:J84" si="90">F85+F87+F86</f>
        <v>333448</v>
      </c>
      <c r="G84" s="40">
        <f t="shared" si="90"/>
        <v>316440</v>
      </c>
      <c r="H84" s="40">
        <f t="shared" ref="H84" si="91">H85+H87+H86</f>
        <v>318360.49</v>
      </c>
      <c r="I84" s="40">
        <f t="shared" ref="I84" si="92">I85+I87+I86</f>
        <v>318360.49</v>
      </c>
      <c r="J84" s="40">
        <f t="shared" si="90"/>
        <v>318360.49</v>
      </c>
    </row>
    <row r="85" spans="1:10" ht="24.95" customHeight="1" x14ac:dyDescent="0.25">
      <c r="A85" s="185">
        <v>32</v>
      </c>
      <c r="B85" s="186"/>
      <c r="C85" s="187"/>
      <c r="D85" s="26" t="s">
        <v>23</v>
      </c>
      <c r="E85" s="40">
        <v>235044.78</v>
      </c>
      <c r="F85" s="40">
        <f>520+2709.31+245000+220+150+249+1202.42+778.77</f>
        <v>250829.5</v>
      </c>
      <c r="G85" s="40">
        <f>500+3250+242000+240+450+300+1100+900</f>
        <v>248740</v>
      </c>
      <c r="H85" s="40">
        <f>(1462+6000+1110+780+2800+967+249+242000+3472.49+61000+320)-69400</f>
        <v>250760.49</v>
      </c>
      <c r="I85" s="40">
        <f t="shared" ref="I85:J85" si="93">(1462+6000+1110+780+2800+967+249+242000+3472.49+61000+320)-69400</f>
        <v>250760.49</v>
      </c>
      <c r="J85" s="40">
        <f t="shared" si="93"/>
        <v>250760.49</v>
      </c>
    </row>
    <row r="86" spans="1:10" ht="24.95" customHeight="1" x14ac:dyDescent="0.25">
      <c r="A86" s="185">
        <v>37</v>
      </c>
      <c r="B86" s="186"/>
      <c r="C86" s="187"/>
      <c r="D86" s="53" t="s">
        <v>34</v>
      </c>
      <c r="E86" s="40">
        <v>52338.239999999998</v>
      </c>
      <c r="F86" s="40">
        <f>400+80000</f>
        <v>80400</v>
      </c>
      <c r="G86" s="40">
        <f>400+65000</f>
        <v>65400</v>
      </c>
      <c r="H86" s="40">
        <f>65000+300</f>
        <v>65300</v>
      </c>
      <c r="I86" s="40">
        <f t="shared" ref="I86:J86" si="94">65000+300</f>
        <v>65300</v>
      </c>
      <c r="J86" s="40">
        <f t="shared" si="94"/>
        <v>65300</v>
      </c>
    </row>
    <row r="87" spans="1:10" ht="24.95" customHeight="1" x14ac:dyDescent="0.25">
      <c r="A87" s="185">
        <v>38</v>
      </c>
      <c r="B87" s="186"/>
      <c r="C87" s="187"/>
      <c r="D87" s="53" t="s">
        <v>117</v>
      </c>
      <c r="E87" s="40">
        <v>2423.94</v>
      </c>
      <c r="F87" s="40">
        <v>2218.5</v>
      </c>
      <c r="G87" s="40">
        <v>2300</v>
      </c>
      <c r="H87" s="40">
        <f>2300</f>
        <v>2300</v>
      </c>
      <c r="I87" s="40">
        <v>2300</v>
      </c>
      <c r="J87" s="41">
        <v>2300</v>
      </c>
    </row>
    <row r="88" spans="1:10" s="62" customFormat="1" ht="24.95" customHeight="1" x14ac:dyDescent="0.2">
      <c r="A88" s="179" t="s">
        <v>193</v>
      </c>
      <c r="B88" s="180"/>
      <c r="C88" s="181"/>
      <c r="D88" s="57" t="s">
        <v>77</v>
      </c>
      <c r="E88" s="58">
        <f>E89</f>
        <v>1587.95</v>
      </c>
      <c r="F88" s="58">
        <f>F89</f>
        <v>4480.25</v>
      </c>
      <c r="G88" s="58">
        <f t="shared" ref="G88:J88" si="95">G89</f>
        <v>3300</v>
      </c>
      <c r="H88" s="58">
        <f t="shared" si="95"/>
        <v>4572.4799999999996</v>
      </c>
      <c r="I88" s="58">
        <f t="shared" si="95"/>
        <v>0</v>
      </c>
      <c r="J88" s="58">
        <f t="shared" si="95"/>
        <v>0</v>
      </c>
    </row>
    <row r="89" spans="1:10" ht="24.95" customHeight="1" x14ac:dyDescent="0.25">
      <c r="A89" s="182">
        <v>3</v>
      </c>
      <c r="B89" s="183"/>
      <c r="C89" s="184"/>
      <c r="D89" s="47" t="s">
        <v>13</v>
      </c>
      <c r="E89" s="40">
        <f>E90+E91</f>
        <v>1587.95</v>
      </c>
      <c r="F89" s="40">
        <f>F90+F91</f>
        <v>4480.25</v>
      </c>
      <c r="G89" s="40">
        <f t="shared" ref="G89:J89" si="96">G90+G91</f>
        <v>3300</v>
      </c>
      <c r="H89" s="40">
        <f t="shared" ref="H89" si="97">H90+H91</f>
        <v>4572.4799999999996</v>
      </c>
      <c r="I89" s="40">
        <f t="shared" ref="I89" si="98">I90+I91</f>
        <v>0</v>
      </c>
      <c r="J89" s="40">
        <f t="shared" si="96"/>
        <v>0</v>
      </c>
    </row>
    <row r="90" spans="1:10" ht="24.95" customHeight="1" x14ac:dyDescent="0.25">
      <c r="A90" s="185">
        <v>32</v>
      </c>
      <c r="B90" s="186"/>
      <c r="C90" s="187"/>
      <c r="D90" s="47" t="s">
        <v>23</v>
      </c>
      <c r="E90" s="40">
        <v>1587.95</v>
      </c>
      <c r="F90" s="40">
        <f>650+3830.25</f>
        <v>4480.25</v>
      </c>
      <c r="G90" s="40">
        <f>2500+300+500</f>
        <v>3300</v>
      </c>
      <c r="H90" s="40">
        <f>1679.24+1686.99+700+506.25</f>
        <v>4572.4799999999996</v>
      </c>
      <c r="I90" s="40">
        <v>0</v>
      </c>
      <c r="J90" s="41">
        <v>0</v>
      </c>
    </row>
    <row r="91" spans="1:10" ht="24.95" customHeight="1" x14ac:dyDescent="0.25">
      <c r="A91" s="185">
        <v>37</v>
      </c>
      <c r="B91" s="186"/>
      <c r="C91" s="187"/>
      <c r="D91" s="53" t="s">
        <v>34</v>
      </c>
      <c r="E91" s="40"/>
      <c r="F91" s="40"/>
      <c r="G91" s="40"/>
      <c r="H91" s="40"/>
      <c r="I91" s="40"/>
      <c r="J91" s="41"/>
    </row>
    <row r="92" spans="1:10" s="62" customFormat="1" ht="24.95" customHeight="1" x14ac:dyDescent="0.2">
      <c r="A92" s="179" t="s">
        <v>183</v>
      </c>
      <c r="B92" s="180"/>
      <c r="C92" s="181"/>
      <c r="D92" s="57" t="s">
        <v>42</v>
      </c>
      <c r="E92" s="58">
        <f>E93</f>
        <v>309.16000000000003</v>
      </c>
      <c r="F92" s="58">
        <f>F93</f>
        <v>850</v>
      </c>
      <c r="G92" s="58">
        <f t="shared" ref="G92:J92" si="99">G93</f>
        <v>850</v>
      </c>
      <c r="H92" s="58">
        <f t="shared" si="99"/>
        <v>50</v>
      </c>
      <c r="I92" s="58">
        <f t="shared" si="99"/>
        <v>50</v>
      </c>
      <c r="J92" s="58">
        <f t="shared" si="99"/>
        <v>50</v>
      </c>
    </row>
    <row r="93" spans="1:10" ht="24.95" customHeight="1" x14ac:dyDescent="0.25">
      <c r="A93" s="185">
        <v>32</v>
      </c>
      <c r="B93" s="186"/>
      <c r="C93" s="187"/>
      <c r="D93" s="47" t="s">
        <v>23</v>
      </c>
      <c r="E93" s="40">
        <v>309.16000000000003</v>
      </c>
      <c r="F93" s="40">
        <f>350+300+100+100</f>
        <v>850</v>
      </c>
      <c r="G93" s="40">
        <f>350+300+100+100</f>
        <v>850</v>
      </c>
      <c r="H93" s="40">
        <f>50</f>
        <v>50</v>
      </c>
      <c r="I93" s="40">
        <f>50</f>
        <v>50</v>
      </c>
      <c r="J93" s="40">
        <f>50</f>
        <v>50</v>
      </c>
    </row>
    <row r="94" spans="1:10" s="61" customFormat="1" ht="24.95" customHeight="1" x14ac:dyDescent="0.25">
      <c r="A94" s="179" t="s">
        <v>184</v>
      </c>
      <c r="B94" s="180"/>
      <c r="C94" s="181"/>
      <c r="D94" s="63" t="s">
        <v>79</v>
      </c>
      <c r="E94" s="58">
        <f>E95</f>
        <v>310.93</v>
      </c>
      <c r="F94" s="58">
        <f>F95</f>
        <v>370.84000000000003</v>
      </c>
      <c r="G94" s="58">
        <f t="shared" ref="G94:J94" si="100">G95</f>
        <v>0</v>
      </c>
      <c r="H94" s="58">
        <f t="shared" si="100"/>
        <v>0</v>
      </c>
      <c r="I94" s="58">
        <f t="shared" si="100"/>
        <v>0</v>
      </c>
      <c r="J94" s="58">
        <f t="shared" si="100"/>
        <v>0</v>
      </c>
    </row>
    <row r="95" spans="1:10" ht="24.95" customHeight="1" x14ac:dyDescent="0.25">
      <c r="A95" s="185">
        <v>32</v>
      </c>
      <c r="B95" s="186"/>
      <c r="C95" s="187"/>
      <c r="D95" s="47" t="s">
        <v>23</v>
      </c>
      <c r="E95" s="40">
        <v>310.93</v>
      </c>
      <c r="F95" s="40">
        <f>100+100+170.84</f>
        <v>370.84000000000003</v>
      </c>
      <c r="G95" s="40"/>
      <c r="H95" s="40"/>
      <c r="I95" s="40"/>
      <c r="J95" s="41"/>
    </row>
    <row r="96" spans="1:10" ht="24.95" customHeight="1" x14ac:dyDescent="0.25">
      <c r="A96" s="176" t="s">
        <v>55</v>
      </c>
      <c r="B96" s="177"/>
      <c r="C96" s="178"/>
      <c r="D96" s="46" t="s">
        <v>56</v>
      </c>
      <c r="E96" s="52">
        <f>E98+E100+E102+E104</f>
        <v>3.42</v>
      </c>
      <c r="F96" s="52">
        <f t="shared" ref="F96:J96" si="101">F98+F100+F102+F104</f>
        <v>55</v>
      </c>
      <c r="G96" s="52">
        <f t="shared" si="101"/>
        <v>40</v>
      </c>
      <c r="H96" s="52">
        <f t="shared" ref="H96" si="102">H98+H100+H102+H104</f>
        <v>50</v>
      </c>
      <c r="I96" s="52">
        <f t="shared" ref="I96" si="103">I98+I100+I102+I104</f>
        <v>50</v>
      </c>
      <c r="J96" s="52">
        <f t="shared" si="101"/>
        <v>50</v>
      </c>
    </row>
    <row r="97" spans="1:10" s="61" customFormat="1" ht="24.95" customHeight="1" x14ac:dyDescent="0.25">
      <c r="A97" s="179" t="s">
        <v>70</v>
      </c>
      <c r="B97" s="180"/>
      <c r="C97" s="181"/>
      <c r="D97" s="57" t="s">
        <v>41</v>
      </c>
      <c r="E97" s="60">
        <f>E98</f>
        <v>2.98</v>
      </c>
      <c r="F97" s="60">
        <f t="shared" ref="F97:J97" si="104">F98</f>
        <v>35</v>
      </c>
      <c r="G97" s="60">
        <f t="shared" si="104"/>
        <v>40</v>
      </c>
      <c r="H97" s="60">
        <f t="shared" si="104"/>
        <v>50</v>
      </c>
      <c r="I97" s="60">
        <f t="shared" si="104"/>
        <v>50</v>
      </c>
      <c r="J97" s="60">
        <f t="shared" si="104"/>
        <v>50</v>
      </c>
    </row>
    <row r="98" spans="1:10" ht="24.95" customHeight="1" x14ac:dyDescent="0.25">
      <c r="A98" s="185">
        <v>34</v>
      </c>
      <c r="B98" s="186"/>
      <c r="C98" s="187"/>
      <c r="D98" s="47" t="s">
        <v>33</v>
      </c>
      <c r="E98" s="40">
        <v>2.98</v>
      </c>
      <c r="F98" s="40">
        <f>35</f>
        <v>35</v>
      </c>
      <c r="G98" s="40">
        <v>40</v>
      </c>
      <c r="H98" s="40">
        <v>50</v>
      </c>
      <c r="I98" s="40">
        <v>50</v>
      </c>
      <c r="J98" s="40">
        <v>50</v>
      </c>
    </row>
    <row r="99" spans="1:10" s="61" customFormat="1" ht="24.95" customHeight="1" x14ac:dyDescent="0.25">
      <c r="A99" s="179" t="s">
        <v>90</v>
      </c>
      <c r="B99" s="180"/>
      <c r="C99" s="181"/>
      <c r="D99" s="57" t="s">
        <v>74</v>
      </c>
      <c r="E99" s="60">
        <f>E100</f>
        <v>0.44</v>
      </c>
      <c r="F99" s="60">
        <f t="shared" ref="F99:J99" si="105">F100</f>
        <v>20</v>
      </c>
      <c r="G99" s="60">
        <f t="shared" si="105"/>
        <v>0</v>
      </c>
      <c r="H99" s="60">
        <f t="shared" si="105"/>
        <v>0</v>
      </c>
      <c r="I99" s="60">
        <f t="shared" si="105"/>
        <v>0</v>
      </c>
      <c r="J99" s="60">
        <f t="shared" si="105"/>
        <v>0</v>
      </c>
    </row>
    <row r="100" spans="1:10" ht="24.95" customHeight="1" x14ac:dyDescent="0.25">
      <c r="A100" s="185">
        <v>34</v>
      </c>
      <c r="B100" s="186"/>
      <c r="C100" s="187"/>
      <c r="D100" s="47" t="s">
        <v>33</v>
      </c>
      <c r="E100" s="40">
        <v>0.44</v>
      </c>
      <c r="F100" s="40">
        <f>20</f>
        <v>20</v>
      </c>
      <c r="G100" s="40"/>
      <c r="H100" s="40"/>
      <c r="I100" s="40"/>
      <c r="J100" s="41"/>
    </row>
    <row r="101" spans="1:10" s="61" customFormat="1" ht="24.95" customHeight="1" x14ac:dyDescent="0.25">
      <c r="A101" s="179" t="s">
        <v>181</v>
      </c>
      <c r="B101" s="180"/>
      <c r="C101" s="181"/>
      <c r="D101" s="57" t="s">
        <v>89</v>
      </c>
      <c r="E101" s="60">
        <f>E102</f>
        <v>0</v>
      </c>
      <c r="F101" s="60">
        <f t="shared" ref="F101:J101" si="106">F102</f>
        <v>0</v>
      </c>
      <c r="G101" s="60">
        <f t="shared" si="106"/>
        <v>0</v>
      </c>
      <c r="H101" s="60">
        <f t="shared" si="106"/>
        <v>0</v>
      </c>
      <c r="I101" s="60">
        <f t="shared" si="106"/>
        <v>0</v>
      </c>
      <c r="J101" s="60">
        <f t="shared" si="106"/>
        <v>0</v>
      </c>
    </row>
    <row r="102" spans="1:10" ht="24.95" customHeight="1" x14ac:dyDescent="0.25">
      <c r="A102" s="185">
        <v>34</v>
      </c>
      <c r="B102" s="186"/>
      <c r="C102" s="187"/>
      <c r="D102" s="47" t="s">
        <v>33</v>
      </c>
      <c r="E102" s="40">
        <v>0</v>
      </c>
      <c r="F102" s="40"/>
      <c r="G102" s="40"/>
      <c r="H102" s="40"/>
      <c r="I102" s="40"/>
      <c r="J102" s="41"/>
    </row>
    <row r="103" spans="1:10" s="61" customFormat="1" ht="24.95" customHeight="1" x14ac:dyDescent="0.25">
      <c r="A103" s="179" t="s">
        <v>91</v>
      </c>
      <c r="B103" s="180"/>
      <c r="C103" s="181"/>
      <c r="D103" s="118" t="s">
        <v>76</v>
      </c>
      <c r="E103" s="60">
        <f>E104</f>
        <v>0</v>
      </c>
      <c r="F103" s="60">
        <f t="shared" ref="F103:J103" si="107">F104</f>
        <v>0</v>
      </c>
      <c r="G103" s="60">
        <f t="shared" si="107"/>
        <v>0</v>
      </c>
      <c r="H103" s="60">
        <f t="shared" si="107"/>
        <v>0</v>
      </c>
      <c r="I103" s="60">
        <f t="shared" si="107"/>
        <v>0</v>
      </c>
      <c r="J103" s="60">
        <f t="shared" si="107"/>
        <v>0</v>
      </c>
    </row>
    <row r="104" spans="1:10" ht="24.95" customHeight="1" x14ac:dyDescent="0.25">
      <c r="A104" s="185">
        <v>34</v>
      </c>
      <c r="B104" s="186"/>
      <c r="C104" s="187"/>
      <c r="D104" s="120" t="s">
        <v>33</v>
      </c>
      <c r="E104" s="40">
        <v>0</v>
      </c>
      <c r="F104" s="40"/>
      <c r="G104" s="40"/>
      <c r="H104" s="40"/>
      <c r="I104" s="40"/>
      <c r="J104" s="41"/>
    </row>
    <row r="105" spans="1:10" ht="24.95" customHeight="1" x14ac:dyDescent="0.25">
      <c r="A105" s="176" t="s">
        <v>57</v>
      </c>
      <c r="B105" s="177"/>
      <c r="C105" s="178"/>
      <c r="D105" s="46" t="s">
        <v>58</v>
      </c>
      <c r="E105" s="52">
        <f>E107+E109+E111+E113+E123+E115+E117+E119+E121+E125</f>
        <v>36074.930000000008</v>
      </c>
      <c r="F105" s="52">
        <f t="shared" ref="F105:J105" si="108">F107+F109+F111+F113+F123+F115+F117+F119+F121+F125</f>
        <v>53690.67</v>
      </c>
      <c r="G105" s="52">
        <f t="shared" si="108"/>
        <v>60500</v>
      </c>
      <c r="H105" s="52">
        <f t="shared" ref="H105" si="109">H107+H109+H111+H113+H123+H115+H117+H119+H121+H125</f>
        <v>55400</v>
      </c>
      <c r="I105" s="52">
        <f t="shared" ref="I105" si="110">I107+I109+I111+I113+I123+I115+I117+I119+I121+I125</f>
        <v>50000</v>
      </c>
      <c r="J105" s="52">
        <f t="shared" si="108"/>
        <v>50000</v>
      </c>
    </row>
    <row r="106" spans="1:10" s="61" customFormat="1" ht="24.95" customHeight="1" x14ac:dyDescent="0.25">
      <c r="A106" s="179" t="s">
        <v>70</v>
      </c>
      <c r="B106" s="180"/>
      <c r="C106" s="181"/>
      <c r="D106" s="57" t="s">
        <v>41</v>
      </c>
      <c r="E106" s="60">
        <f>E107</f>
        <v>0</v>
      </c>
      <c r="F106" s="60">
        <f t="shared" ref="F106:J106" si="111">F107</f>
        <v>2550</v>
      </c>
      <c r="G106" s="60">
        <f t="shared" si="111"/>
        <v>3150</v>
      </c>
      <c r="H106" s="60">
        <f t="shared" si="111"/>
        <v>3650</v>
      </c>
      <c r="I106" s="60">
        <f t="shared" si="111"/>
        <v>3650</v>
      </c>
      <c r="J106" s="60">
        <f t="shared" si="111"/>
        <v>3650</v>
      </c>
    </row>
    <row r="107" spans="1:10" ht="24.95" customHeight="1" x14ac:dyDescent="0.25">
      <c r="A107" s="185">
        <v>42</v>
      </c>
      <c r="B107" s="186"/>
      <c r="C107" s="187"/>
      <c r="D107" s="47" t="s">
        <v>29</v>
      </c>
      <c r="E107" s="40">
        <v>0</v>
      </c>
      <c r="F107" s="40">
        <f>1000+100+800+100+400+150</f>
        <v>2550</v>
      </c>
      <c r="G107" s="40">
        <f>1000+100+1000+500+400+150</f>
        <v>3150</v>
      </c>
      <c r="H107" s="40">
        <f>3650</f>
        <v>3650</v>
      </c>
      <c r="I107" s="40">
        <f>3650</f>
        <v>3650</v>
      </c>
      <c r="J107" s="40">
        <f>3650</f>
        <v>3650</v>
      </c>
    </row>
    <row r="108" spans="1:10" s="61" customFormat="1" ht="24.95" customHeight="1" x14ac:dyDescent="0.25">
      <c r="A108" s="179" t="s">
        <v>90</v>
      </c>
      <c r="B108" s="180"/>
      <c r="C108" s="181"/>
      <c r="D108" s="57" t="s">
        <v>74</v>
      </c>
      <c r="E108" s="60">
        <f>E109</f>
        <v>1800</v>
      </c>
      <c r="F108" s="60">
        <f t="shared" ref="F108:J108" si="112">F109</f>
        <v>1999.99</v>
      </c>
      <c r="G108" s="60">
        <f t="shared" si="112"/>
        <v>2400</v>
      </c>
      <c r="H108" s="60">
        <f t="shared" si="112"/>
        <v>3200</v>
      </c>
      <c r="I108" s="60">
        <f t="shared" si="112"/>
        <v>0</v>
      </c>
      <c r="J108" s="60">
        <f t="shared" si="112"/>
        <v>0</v>
      </c>
    </row>
    <row r="109" spans="1:10" ht="24.95" customHeight="1" x14ac:dyDescent="0.25">
      <c r="A109" s="185">
        <v>42</v>
      </c>
      <c r="B109" s="186"/>
      <c r="C109" s="187"/>
      <c r="D109" s="47" t="s">
        <v>29</v>
      </c>
      <c r="E109" s="40">
        <v>1800</v>
      </c>
      <c r="F109" s="40">
        <f>199.99+1800</f>
        <v>1999.99</v>
      </c>
      <c r="G109" s="40">
        <v>2400</v>
      </c>
      <c r="H109" s="40">
        <f>3000+100+100</f>
        <v>3200</v>
      </c>
      <c r="I109" s="40">
        <v>0</v>
      </c>
      <c r="J109" s="41">
        <v>0</v>
      </c>
    </row>
    <row r="110" spans="1:10" s="61" customFormat="1" ht="24.95" customHeight="1" x14ac:dyDescent="0.25">
      <c r="A110" s="179" t="s">
        <v>181</v>
      </c>
      <c r="B110" s="180"/>
      <c r="C110" s="181"/>
      <c r="D110" s="57" t="s">
        <v>89</v>
      </c>
      <c r="E110" s="60">
        <f>E111</f>
        <v>4039.1</v>
      </c>
      <c r="F110" s="60">
        <f t="shared" ref="F110:J110" si="113">F111</f>
        <v>10900</v>
      </c>
      <c r="G110" s="60">
        <f t="shared" si="113"/>
        <v>10900</v>
      </c>
      <c r="H110" s="60">
        <f t="shared" si="113"/>
        <v>9500</v>
      </c>
      <c r="I110" s="60">
        <f t="shared" si="113"/>
        <v>9500</v>
      </c>
      <c r="J110" s="60">
        <f t="shared" si="113"/>
        <v>9500</v>
      </c>
    </row>
    <row r="111" spans="1:10" ht="24.95" customHeight="1" x14ac:dyDescent="0.25">
      <c r="A111" s="185">
        <v>42</v>
      </c>
      <c r="B111" s="186"/>
      <c r="C111" s="187"/>
      <c r="D111" s="47" t="s">
        <v>29</v>
      </c>
      <c r="E111" s="40">
        <v>4039.1</v>
      </c>
      <c r="F111" s="40">
        <f>3300+2600+5000</f>
        <v>10900</v>
      </c>
      <c r="G111" s="40">
        <f>3300+2600+5000</f>
        <v>10900</v>
      </c>
      <c r="H111" s="40">
        <f>9500</f>
        <v>9500</v>
      </c>
      <c r="I111" s="40">
        <f>9500</f>
        <v>9500</v>
      </c>
      <c r="J111" s="40">
        <f>9500</f>
        <v>9500</v>
      </c>
    </row>
    <row r="112" spans="1:10" s="61" customFormat="1" ht="24.95" customHeight="1" x14ac:dyDescent="0.25">
      <c r="A112" s="179" t="s">
        <v>91</v>
      </c>
      <c r="B112" s="180"/>
      <c r="C112" s="181"/>
      <c r="D112" s="57" t="s">
        <v>76</v>
      </c>
      <c r="E112" s="60">
        <f>E113</f>
        <v>4105.83</v>
      </c>
      <c r="F112" s="60">
        <f t="shared" ref="F112:J112" si="114">F113</f>
        <v>4867.1900000000005</v>
      </c>
      <c r="G112" s="60">
        <f t="shared" si="114"/>
        <v>7000</v>
      </c>
      <c r="H112" s="60">
        <f t="shared" si="114"/>
        <v>2200</v>
      </c>
      <c r="I112" s="60">
        <f t="shared" si="114"/>
        <v>0</v>
      </c>
      <c r="J112" s="60">
        <f t="shared" si="114"/>
        <v>0</v>
      </c>
    </row>
    <row r="113" spans="1:10" ht="24.95" customHeight="1" x14ac:dyDescent="0.25">
      <c r="A113" s="185">
        <v>42</v>
      </c>
      <c r="B113" s="186"/>
      <c r="C113" s="187"/>
      <c r="D113" s="47" t="s">
        <v>29</v>
      </c>
      <c r="E113" s="40">
        <v>4105.83</v>
      </c>
      <c r="F113" s="40">
        <f>2467.19+2400</f>
        <v>4867.1900000000005</v>
      </c>
      <c r="G113" s="40">
        <v>7000</v>
      </c>
      <c r="H113" s="40">
        <f>1200+1000</f>
        <v>2200</v>
      </c>
      <c r="I113" s="40">
        <v>0</v>
      </c>
      <c r="J113" s="41">
        <v>0</v>
      </c>
    </row>
    <row r="114" spans="1:10" ht="24.95" customHeight="1" x14ac:dyDescent="0.25">
      <c r="A114" s="179" t="s">
        <v>183</v>
      </c>
      <c r="B114" s="180"/>
      <c r="C114" s="181"/>
      <c r="D114" s="87" t="s">
        <v>42</v>
      </c>
      <c r="E114" s="125">
        <f>E115</f>
        <v>5803.75</v>
      </c>
      <c r="F114" s="125">
        <f t="shared" ref="F114:J114" si="115">F115</f>
        <v>500</v>
      </c>
      <c r="G114" s="125">
        <f t="shared" si="115"/>
        <v>200</v>
      </c>
      <c r="H114" s="125">
        <f t="shared" si="115"/>
        <v>0</v>
      </c>
      <c r="I114" s="125">
        <f t="shared" si="115"/>
        <v>0</v>
      </c>
      <c r="J114" s="125">
        <f t="shared" si="115"/>
        <v>0</v>
      </c>
    </row>
    <row r="115" spans="1:10" ht="24.95" customHeight="1" x14ac:dyDescent="0.25">
      <c r="A115" s="185">
        <v>42</v>
      </c>
      <c r="B115" s="186"/>
      <c r="C115" s="187"/>
      <c r="D115" s="86" t="s">
        <v>29</v>
      </c>
      <c r="E115" s="40">
        <v>5803.75</v>
      </c>
      <c r="F115" s="40">
        <v>500</v>
      </c>
      <c r="G115" s="40">
        <v>200</v>
      </c>
      <c r="H115" s="40"/>
      <c r="I115" s="40"/>
      <c r="J115" s="41"/>
    </row>
    <row r="116" spans="1:10" ht="24.95" customHeight="1" x14ac:dyDescent="0.25">
      <c r="A116" s="179" t="s">
        <v>184</v>
      </c>
      <c r="B116" s="180"/>
      <c r="C116" s="181"/>
      <c r="D116" s="118" t="s">
        <v>79</v>
      </c>
      <c r="E116" s="125">
        <f>E117</f>
        <v>0</v>
      </c>
      <c r="F116" s="125">
        <f t="shared" ref="F116:J116" si="116">F117</f>
        <v>300</v>
      </c>
      <c r="G116" s="125">
        <f t="shared" si="116"/>
        <v>0</v>
      </c>
      <c r="H116" s="125">
        <f t="shared" si="116"/>
        <v>0</v>
      </c>
      <c r="I116" s="125">
        <f t="shared" si="116"/>
        <v>0</v>
      </c>
      <c r="J116" s="125">
        <f t="shared" si="116"/>
        <v>0</v>
      </c>
    </row>
    <row r="117" spans="1:10" ht="24.95" customHeight="1" x14ac:dyDescent="0.25">
      <c r="A117" s="185">
        <v>42</v>
      </c>
      <c r="B117" s="186"/>
      <c r="C117" s="187"/>
      <c r="D117" s="120" t="s">
        <v>29</v>
      </c>
      <c r="E117" s="40"/>
      <c r="F117" s="40">
        <f>300</f>
        <v>300</v>
      </c>
      <c r="G117" s="40"/>
      <c r="H117" s="40"/>
      <c r="I117" s="40"/>
      <c r="J117" s="41"/>
    </row>
    <row r="118" spans="1:10" ht="24.95" customHeight="1" x14ac:dyDescent="0.25">
      <c r="A118" s="179" t="s">
        <v>185</v>
      </c>
      <c r="B118" s="180"/>
      <c r="C118" s="181"/>
      <c r="D118" s="121" t="s">
        <v>155</v>
      </c>
      <c r="E118" s="125">
        <f>E119</f>
        <v>1994.05</v>
      </c>
      <c r="F118" s="125">
        <f t="shared" ref="F118:J118" si="117">F119</f>
        <v>0</v>
      </c>
      <c r="G118" s="125">
        <f t="shared" si="117"/>
        <v>0</v>
      </c>
      <c r="H118" s="125">
        <f t="shared" si="117"/>
        <v>0</v>
      </c>
      <c r="I118" s="125">
        <f t="shared" si="117"/>
        <v>0</v>
      </c>
      <c r="J118" s="125">
        <f t="shared" si="117"/>
        <v>0</v>
      </c>
    </row>
    <row r="119" spans="1:10" ht="24.95" customHeight="1" x14ac:dyDescent="0.25">
      <c r="A119" s="185">
        <v>42</v>
      </c>
      <c r="B119" s="186"/>
      <c r="C119" s="187"/>
      <c r="D119" s="122" t="s">
        <v>29</v>
      </c>
      <c r="E119" s="40">
        <v>1994.05</v>
      </c>
      <c r="F119" s="40"/>
      <c r="G119" s="40"/>
      <c r="H119" s="40"/>
      <c r="I119" s="40"/>
      <c r="J119" s="41"/>
    </row>
    <row r="120" spans="1:10" ht="24.95" customHeight="1" x14ac:dyDescent="0.25">
      <c r="A120" s="179" t="s">
        <v>116</v>
      </c>
      <c r="B120" s="180"/>
      <c r="C120" s="181"/>
      <c r="D120" s="118" t="s">
        <v>118</v>
      </c>
      <c r="E120" s="125">
        <f>E121</f>
        <v>0</v>
      </c>
      <c r="F120" s="125">
        <f t="shared" ref="F120:J120" si="118">F121</f>
        <v>0</v>
      </c>
      <c r="G120" s="125">
        <f t="shared" si="118"/>
        <v>0</v>
      </c>
      <c r="H120" s="125">
        <f t="shared" si="118"/>
        <v>0</v>
      </c>
      <c r="I120" s="125">
        <f t="shared" si="118"/>
        <v>0</v>
      </c>
      <c r="J120" s="125">
        <f t="shared" si="118"/>
        <v>0</v>
      </c>
    </row>
    <row r="121" spans="1:10" ht="24.95" customHeight="1" x14ac:dyDescent="0.25">
      <c r="A121" s="185">
        <v>42</v>
      </c>
      <c r="B121" s="186"/>
      <c r="C121" s="187"/>
      <c r="D121" s="120" t="s">
        <v>29</v>
      </c>
      <c r="E121" s="40"/>
      <c r="F121" s="40"/>
      <c r="G121" s="40"/>
      <c r="H121" s="40"/>
      <c r="I121" s="40"/>
      <c r="J121" s="41"/>
    </row>
    <row r="122" spans="1:10" s="61" customFormat="1" ht="24.95" customHeight="1" x14ac:dyDescent="0.25">
      <c r="A122" s="179" t="s">
        <v>182</v>
      </c>
      <c r="B122" s="180"/>
      <c r="C122" s="181"/>
      <c r="D122" s="57" t="s">
        <v>40</v>
      </c>
      <c r="E122" s="60">
        <f>E123</f>
        <v>18332.2</v>
      </c>
      <c r="F122" s="60">
        <f t="shared" ref="F122:J124" si="119">F123</f>
        <v>31827.24</v>
      </c>
      <c r="G122" s="60">
        <f t="shared" si="119"/>
        <v>36850</v>
      </c>
      <c r="H122" s="60">
        <f t="shared" si="119"/>
        <v>36850</v>
      </c>
      <c r="I122" s="60">
        <f t="shared" si="119"/>
        <v>36850</v>
      </c>
      <c r="J122" s="60">
        <f t="shared" si="119"/>
        <v>36850</v>
      </c>
    </row>
    <row r="123" spans="1:10" ht="24.95" customHeight="1" x14ac:dyDescent="0.25">
      <c r="A123" s="185">
        <v>42</v>
      </c>
      <c r="B123" s="186"/>
      <c r="C123" s="187"/>
      <c r="D123" s="47" t="s">
        <v>29</v>
      </c>
      <c r="E123" s="40">
        <v>18332.2</v>
      </c>
      <c r="F123" s="40">
        <f>500+31327.24</f>
        <v>31827.24</v>
      </c>
      <c r="G123" s="40">
        <f>500+36350</f>
        <v>36850</v>
      </c>
      <c r="H123" s="40">
        <v>36850</v>
      </c>
      <c r="I123" s="40">
        <v>36850</v>
      </c>
      <c r="J123" s="40">
        <v>36850</v>
      </c>
    </row>
    <row r="124" spans="1:10" s="61" customFormat="1" ht="24.95" customHeight="1" x14ac:dyDescent="0.25">
      <c r="A124" s="179" t="s">
        <v>92</v>
      </c>
      <c r="B124" s="180"/>
      <c r="C124" s="181"/>
      <c r="D124" s="128" t="s">
        <v>77</v>
      </c>
      <c r="E124" s="60">
        <f>E125</f>
        <v>0</v>
      </c>
      <c r="F124" s="60">
        <f t="shared" si="119"/>
        <v>746.25</v>
      </c>
      <c r="G124" s="60">
        <f t="shared" si="119"/>
        <v>0</v>
      </c>
      <c r="H124" s="60">
        <f t="shared" si="119"/>
        <v>0</v>
      </c>
      <c r="I124" s="60">
        <f t="shared" si="119"/>
        <v>0</v>
      </c>
      <c r="J124" s="60">
        <f t="shared" si="119"/>
        <v>0</v>
      </c>
    </row>
    <row r="125" spans="1:10" ht="24.95" customHeight="1" x14ac:dyDescent="0.25">
      <c r="A125" s="185">
        <v>42</v>
      </c>
      <c r="B125" s="186"/>
      <c r="C125" s="187"/>
      <c r="D125" s="127" t="s">
        <v>29</v>
      </c>
      <c r="E125" s="40"/>
      <c r="F125" s="40">
        <f>746.25</f>
        <v>746.25</v>
      </c>
      <c r="G125" s="40"/>
      <c r="H125" s="40"/>
      <c r="I125" s="40"/>
      <c r="J125" s="40"/>
    </row>
    <row r="126" spans="1:10" ht="24.95" customHeight="1" x14ac:dyDescent="0.25">
      <c r="A126" s="191" t="s">
        <v>59</v>
      </c>
      <c r="B126" s="192"/>
      <c r="C126" s="193"/>
      <c r="D126" s="51" t="s">
        <v>60</v>
      </c>
      <c r="E126" s="54">
        <f t="shared" ref="E126:J126" si="120">E127+E132+E137+E141+E156+E161</f>
        <v>430879.61</v>
      </c>
      <c r="F126" s="54">
        <f t="shared" si="120"/>
        <v>524900</v>
      </c>
      <c r="G126" s="54">
        <f t="shared" si="120"/>
        <v>514500</v>
      </c>
      <c r="H126" s="54">
        <f t="shared" si="120"/>
        <v>591150</v>
      </c>
      <c r="I126" s="54">
        <f t="shared" si="120"/>
        <v>591150</v>
      </c>
      <c r="J126" s="54">
        <f t="shared" si="120"/>
        <v>591150</v>
      </c>
    </row>
    <row r="127" spans="1:10" ht="31.9" customHeight="1" x14ac:dyDescent="0.25">
      <c r="A127" s="176" t="s">
        <v>61</v>
      </c>
      <c r="B127" s="177"/>
      <c r="C127" s="178"/>
      <c r="D127" s="46" t="s">
        <v>168</v>
      </c>
      <c r="E127" s="52">
        <f>E129</f>
        <v>70</v>
      </c>
      <c r="F127" s="52">
        <f>F129</f>
        <v>1000</v>
      </c>
      <c r="G127" s="52">
        <f t="shared" ref="G127:J127" si="121">G129</f>
        <v>2000</v>
      </c>
      <c r="H127" s="52">
        <f t="shared" ref="H127" si="122">H129</f>
        <v>4850</v>
      </c>
      <c r="I127" s="52">
        <f t="shared" ref="I127" si="123">I129</f>
        <v>4850</v>
      </c>
      <c r="J127" s="52">
        <f t="shared" si="121"/>
        <v>4850</v>
      </c>
    </row>
    <row r="128" spans="1:10" s="61" customFormat="1" ht="24.95" customHeight="1" x14ac:dyDescent="0.25">
      <c r="A128" s="179" t="s">
        <v>69</v>
      </c>
      <c r="B128" s="180"/>
      <c r="C128" s="181"/>
      <c r="D128" s="57" t="s">
        <v>11</v>
      </c>
      <c r="E128" s="58">
        <f>E129</f>
        <v>70</v>
      </c>
      <c r="F128" s="58">
        <f>F129</f>
        <v>1000</v>
      </c>
      <c r="G128" s="58">
        <f t="shared" ref="G128:J128" si="124">G129</f>
        <v>2000</v>
      </c>
      <c r="H128" s="58">
        <f t="shared" si="124"/>
        <v>4850</v>
      </c>
      <c r="I128" s="58">
        <f t="shared" si="124"/>
        <v>4850</v>
      </c>
      <c r="J128" s="58">
        <f t="shared" si="124"/>
        <v>4850</v>
      </c>
    </row>
    <row r="129" spans="1:10" ht="24.95" customHeight="1" x14ac:dyDescent="0.25">
      <c r="A129" s="182">
        <v>3</v>
      </c>
      <c r="B129" s="183"/>
      <c r="C129" s="184"/>
      <c r="D129" s="19" t="s">
        <v>13</v>
      </c>
      <c r="E129" s="40">
        <f>E131+E130</f>
        <v>70</v>
      </c>
      <c r="F129" s="40">
        <f t="shared" ref="F129:J129" si="125">F131+F130</f>
        <v>1000</v>
      </c>
      <c r="G129" s="40">
        <f t="shared" si="125"/>
        <v>2000</v>
      </c>
      <c r="H129" s="40">
        <f t="shared" ref="H129" si="126">H131+H130</f>
        <v>4850</v>
      </c>
      <c r="I129" s="40">
        <f t="shared" ref="I129" si="127">I131+I130</f>
        <v>4850</v>
      </c>
      <c r="J129" s="40">
        <f t="shared" si="125"/>
        <v>4850</v>
      </c>
    </row>
    <row r="130" spans="1:10" ht="24.95" customHeight="1" x14ac:dyDescent="0.25">
      <c r="A130" s="185">
        <v>32</v>
      </c>
      <c r="B130" s="186"/>
      <c r="C130" s="187"/>
      <c r="D130" s="86" t="s">
        <v>23</v>
      </c>
      <c r="E130" s="40">
        <v>70</v>
      </c>
      <c r="F130" s="40">
        <f>500+500</f>
        <v>1000</v>
      </c>
      <c r="G130" s="40">
        <f>100+1200+500+200</f>
        <v>2000</v>
      </c>
      <c r="H130" s="40">
        <f>4850</f>
        <v>4850</v>
      </c>
      <c r="I130" s="40">
        <f>4850</f>
        <v>4850</v>
      </c>
      <c r="J130" s="40">
        <f>4850</f>
        <v>4850</v>
      </c>
    </row>
    <row r="131" spans="1:10" ht="24.95" customHeight="1" x14ac:dyDescent="0.25">
      <c r="A131" s="185">
        <v>37</v>
      </c>
      <c r="B131" s="186"/>
      <c r="C131" s="187"/>
      <c r="D131" s="53" t="s">
        <v>34</v>
      </c>
      <c r="E131" s="40">
        <v>0</v>
      </c>
      <c r="F131" s="40"/>
      <c r="G131" s="40"/>
      <c r="H131" s="40"/>
      <c r="I131" s="40"/>
      <c r="J131" s="41"/>
    </row>
    <row r="132" spans="1:10" ht="24.95" customHeight="1" x14ac:dyDescent="0.25">
      <c r="A132" s="176" t="s">
        <v>62</v>
      </c>
      <c r="B132" s="177"/>
      <c r="C132" s="178"/>
      <c r="D132" s="46" t="s">
        <v>63</v>
      </c>
      <c r="E132" s="52">
        <f>E134</f>
        <v>170768.96</v>
      </c>
      <c r="F132" s="52">
        <f>F134</f>
        <v>208000</v>
      </c>
      <c r="G132" s="52">
        <f t="shared" ref="G132:J132" si="128">G134</f>
        <v>192500</v>
      </c>
      <c r="H132" s="52">
        <f t="shared" ref="H132" si="129">H134</f>
        <v>224300</v>
      </c>
      <c r="I132" s="52">
        <f t="shared" ref="I132" si="130">I134</f>
        <v>224300</v>
      </c>
      <c r="J132" s="52">
        <f t="shared" si="128"/>
        <v>224300</v>
      </c>
    </row>
    <row r="133" spans="1:10" s="61" customFormat="1" ht="24.95" customHeight="1" x14ac:dyDescent="0.25">
      <c r="A133" s="179" t="s">
        <v>69</v>
      </c>
      <c r="B133" s="180"/>
      <c r="C133" s="181"/>
      <c r="D133" s="57" t="s">
        <v>11</v>
      </c>
      <c r="E133" s="58">
        <f>E134</f>
        <v>170768.96</v>
      </c>
      <c r="F133" s="58">
        <f>F134</f>
        <v>208000</v>
      </c>
      <c r="G133" s="58">
        <f t="shared" ref="G133:J133" si="131">G134</f>
        <v>192500</v>
      </c>
      <c r="H133" s="58">
        <f t="shared" si="131"/>
        <v>224300</v>
      </c>
      <c r="I133" s="58">
        <f t="shared" si="131"/>
        <v>224300</v>
      </c>
      <c r="J133" s="58">
        <f t="shared" si="131"/>
        <v>224300</v>
      </c>
    </row>
    <row r="134" spans="1:10" ht="24.95" customHeight="1" x14ac:dyDescent="0.25">
      <c r="A134" s="182">
        <v>3</v>
      </c>
      <c r="B134" s="183"/>
      <c r="C134" s="184"/>
      <c r="D134" s="26" t="s">
        <v>13</v>
      </c>
      <c r="E134" s="40">
        <f>E135+E136</f>
        <v>170768.96</v>
      </c>
      <c r="F134" s="40">
        <f>F135+F136</f>
        <v>208000</v>
      </c>
      <c r="G134" s="40">
        <f t="shared" ref="G134:J134" si="132">G135+G136</f>
        <v>192500</v>
      </c>
      <c r="H134" s="40">
        <f t="shared" ref="H134" si="133">H135+H136</f>
        <v>224300</v>
      </c>
      <c r="I134" s="40">
        <f t="shared" ref="I134" si="134">I135+I136</f>
        <v>224300</v>
      </c>
      <c r="J134" s="40">
        <f t="shared" si="132"/>
        <v>224300</v>
      </c>
    </row>
    <row r="135" spans="1:10" ht="24.95" customHeight="1" x14ac:dyDescent="0.25">
      <c r="A135" s="185">
        <v>31</v>
      </c>
      <c r="B135" s="186"/>
      <c r="C135" s="187"/>
      <c r="D135" s="26" t="s">
        <v>14</v>
      </c>
      <c r="E135" s="40">
        <v>169469.31</v>
      </c>
      <c r="F135" s="40">
        <f>172411.47+5120.72+28458.2</f>
        <v>205990.39</v>
      </c>
      <c r="G135" s="40">
        <f>159000+5000+27000</f>
        <v>191000</v>
      </c>
      <c r="H135" s="40">
        <f>186000+6000+30000</f>
        <v>222000</v>
      </c>
      <c r="I135" s="40">
        <f t="shared" ref="I135:J135" si="135">186000+6000+30000</f>
        <v>222000</v>
      </c>
      <c r="J135" s="40">
        <f t="shared" si="135"/>
        <v>222000</v>
      </c>
    </row>
    <row r="136" spans="1:10" ht="24.95" customHeight="1" x14ac:dyDescent="0.25">
      <c r="A136" s="185">
        <v>32</v>
      </c>
      <c r="B136" s="186"/>
      <c r="C136" s="187"/>
      <c r="D136" s="26" t="s">
        <v>83</v>
      </c>
      <c r="E136" s="40">
        <v>1299.6500000000001</v>
      </c>
      <c r="F136" s="40">
        <f>2009.61</f>
        <v>2009.61</v>
      </c>
      <c r="G136" s="40">
        <v>1500</v>
      </c>
      <c r="H136" s="40">
        <v>2300</v>
      </c>
      <c r="I136" s="40">
        <v>2300</v>
      </c>
      <c r="J136" s="40">
        <v>2300</v>
      </c>
    </row>
    <row r="137" spans="1:10" ht="30.6" customHeight="1" x14ac:dyDescent="0.25">
      <c r="A137" s="176" t="s">
        <v>64</v>
      </c>
      <c r="B137" s="177"/>
      <c r="C137" s="178"/>
      <c r="D137" s="46" t="s">
        <v>82</v>
      </c>
      <c r="E137" s="52">
        <f>E139</f>
        <v>66764.13</v>
      </c>
      <c r="F137" s="52">
        <f>F139</f>
        <v>70000</v>
      </c>
      <c r="G137" s="52">
        <f t="shared" ref="G137:J137" si="136">G139</f>
        <v>80000</v>
      </c>
      <c r="H137" s="52">
        <f t="shared" ref="H137" si="137">H139</f>
        <v>80000</v>
      </c>
      <c r="I137" s="52">
        <f t="shared" ref="I137" si="138">I139</f>
        <v>80000</v>
      </c>
      <c r="J137" s="52">
        <f t="shared" si="136"/>
        <v>80000</v>
      </c>
    </row>
    <row r="138" spans="1:10" s="61" customFormat="1" ht="24.95" customHeight="1" x14ac:dyDescent="0.25">
      <c r="A138" s="179" t="s">
        <v>69</v>
      </c>
      <c r="B138" s="180"/>
      <c r="C138" s="181"/>
      <c r="D138" s="57" t="s">
        <v>11</v>
      </c>
      <c r="E138" s="58">
        <f t="shared" ref="E138:F139" si="139">E139</f>
        <v>66764.13</v>
      </c>
      <c r="F138" s="58">
        <f t="shared" si="139"/>
        <v>70000</v>
      </c>
      <c r="G138" s="58">
        <f t="shared" ref="G138:J139" si="140">G139</f>
        <v>80000</v>
      </c>
      <c r="H138" s="58">
        <f t="shared" si="140"/>
        <v>80000</v>
      </c>
      <c r="I138" s="58">
        <f t="shared" si="140"/>
        <v>80000</v>
      </c>
      <c r="J138" s="58">
        <f t="shared" si="140"/>
        <v>80000</v>
      </c>
    </row>
    <row r="139" spans="1:10" ht="24.95" customHeight="1" x14ac:dyDescent="0.25">
      <c r="A139" s="182">
        <v>3</v>
      </c>
      <c r="B139" s="183"/>
      <c r="C139" s="184"/>
      <c r="D139" s="26" t="s">
        <v>13</v>
      </c>
      <c r="E139" s="40">
        <f t="shared" si="139"/>
        <v>66764.13</v>
      </c>
      <c r="F139" s="40">
        <f t="shared" si="139"/>
        <v>70000</v>
      </c>
      <c r="G139" s="40">
        <f t="shared" si="140"/>
        <v>80000</v>
      </c>
      <c r="H139" s="40">
        <f t="shared" si="140"/>
        <v>80000</v>
      </c>
      <c r="I139" s="40">
        <f t="shared" si="140"/>
        <v>80000</v>
      </c>
      <c r="J139" s="40">
        <f t="shared" si="140"/>
        <v>80000</v>
      </c>
    </row>
    <row r="140" spans="1:10" ht="27.6" customHeight="1" x14ac:dyDescent="0.25">
      <c r="A140" s="185">
        <v>37</v>
      </c>
      <c r="B140" s="186"/>
      <c r="C140" s="187"/>
      <c r="D140" s="53" t="s">
        <v>34</v>
      </c>
      <c r="E140" s="40">
        <v>66764.13</v>
      </c>
      <c r="F140" s="40">
        <f>70000</f>
        <v>70000</v>
      </c>
      <c r="G140" s="40">
        <v>80000</v>
      </c>
      <c r="H140" s="40">
        <v>80000</v>
      </c>
      <c r="I140" s="40">
        <v>80000</v>
      </c>
      <c r="J140" s="41">
        <v>80000</v>
      </c>
    </row>
    <row r="141" spans="1:10" ht="24.95" customHeight="1" x14ac:dyDescent="0.25">
      <c r="A141" s="176" t="s">
        <v>65</v>
      </c>
      <c r="B141" s="177"/>
      <c r="C141" s="178"/>
      <c r="D141" s="46" t="s">
        <v>153</v>
      </c>
      <c r="E141" s="52">
        <f>E150+E153+E142</f>
        <v>10308.5</v>
      </c>
      <c r="F141" s="52">
        <f>F150+F153+F142+F147</f>
        <v>16200</v>
      </c>
      <c r="G141" s="52">
        <f t="shared" ref="G141:J141" si="141">G150+G153+G142+G147</f>
        <v>17000</v>
      </c>
      <c r="H141" s="52">
        <f t="shared" ref="H141" si="142">H150+H153+H142+H147</f>
        <v>17000</v>
      </c>
      <c r="I141" s="52">
        <f t="shared" ref="I141" si="143">I150+I153+I142+I147</f>
        <v>17000</v>
      </c>
      <c r="J141" s="52">
        <f t="shared" si="141"/>
        <v>17000</v>
      </c>
    </row>
    <row r="142" spans="1:10" ht="24.95" customHeight="1" x14ac:dyDescent="0.25">
      <c r="A142" s="179" t="s">
        <v>69</v>
      </c>
      <c r="B142" s="180"/>
      <c r="C142" s="181"/>
      <c r="D142" s="87" t="s">
        <v>11</v>
      </c>
      <c r="E142" s="91">
        <f>E143+E145</f>
        <v>4048.77</v>
      </c>
      <c r="F142" s="91">
        <f t="shared" ref="F142:J142" si="144">F143+F145</f>
        <v>2500</v>
      </c>
      <c r="G142" s="91">
        <f t="shared" si="144"/>
        <v>2195</v>
      </c>
      <c r="H142" s="91">
        <f t="shared" ref="H142" si="145">H143+H145</f>
        <v>10000</v>
      </c>
      <c r="I142" s="91">
        <f t="shared" ref="I142" si="146">I143+I145</f>
        <v>10000</v>
      </c>
      <c r="J142" s="91">
        <f t="shared" si="144"/>
        <v>10000</v>
      </c>
    </row>
    <row r="143" spans="1:10" ht="24.95" customHeight="1" x14ac:dyDescent="0.25">
      <c r="A143" s="182">
        <v>3</v>
      </c>
      <c r="B143" s="183"/>
      <c r="C143" s="184"/>
      <c r="D143" s="86" t="s">
        <v>13</v>
      </c>
      <c r="E143" s="88">
        <f>E144</f>
        <v>4048.77</v>
      </c>
      <c r="F143" s="88">
        <f t="shared" ref="F143:J143" si="147">F144</f>
        <v>2500</v>
      </c>
      <c r="G143" s="88">
        <f t="shared" si="147"/>
        <v>2195</v>
      </c>
      <c r="H143" s="88">
        <f t="shared" si="147"/>
        <v>10000</v>
      </c>
      <c r="I143" s="88">
        <f t="shared" si="147"/>
        <v>10000</v>
      </c>
      <c r="J143" s="88">
        <f t="shared" si="147"/>
        <v>10000</v>
      </c>
    </row>
    <row r="144" spans="1:10" ht="24.95" customHeight="1" x14ac:dyDescent="0.25">
      <c r="A144" s="185">
        <v>32</v>
      </c>
      <c r="B144" s="186"/>
      <c r="C144" s="187"/>
      <c r="D144" s="86" t="s">
        <v>23</v>
      </c>
      <c r="E144" s="88">
        <v>4048.77</v>
      </c>
      <c r="F144" s="88">
        <f>2500</f>
        <v>2500</v>
      </c>
      <c r="G144" s="88">
        <v>2195</v>
      </c>
      <c r="H144" s="88">
        <v>10000</v>
      </c>
      <c r="I144" s="88">
        <v>10000</v>
      </c>
      <c r="J144" s="88">
        <v>10000</v>
      </c>
    </row>
    <row r="145" spans="1:10" ht="24.95" customHeight="1" x14ac:dyDescent="0.25">
      <c r="A145" s="182">
        <v>4</v>
      </c>
      <c r="B145" s="183"/>
      <c r="C145" s="184"/>
      <c r="D145" s="120" t="s">
        <v>15</v>
      </c>
      <c r="E145" s="40">
        <f t="shared" ref="E145" si="148">E146</f>
        <v>0</v>
      </c>
      <c r="F145" s="40">
        <f t="shared" ref="F145:J145" si="149">F146</f>
        <v>0</v>
      </c>
      <c r="G145" s="40">
        <f t="shared" si="149"/>
        <v>0</v>
      </c>
      <c r="H145" s="40">
        <f t="shared" si="149"/>
        <v>0</v>
      </c>
      <c r="I145" s="40">
        <f t="shared" si="149"/>
        <v>0</v>
      </c>
      <c r="J145" s="40">
        <f t="shared" si="149"/>
        <v>0</v>
      </c>
    </row>
    <row r="146" spans="1:10" ht="24.95" customHeight="1" x14ac:dyDescent="0.25">
      <c r="A146" s="185">
        <v>42</v>
      </c>
      <c r="B146" s="186"/>
      <c r="C146" s="187"/>
      <c r="D146" s="120" t="s">
        <v>29</v>
      </c>
      <c r="E146" s="40">
        <v>0</v>
      </c>
      <c r="F146" s="40"/>
      <c r="G146" s="40"/>
      <c r="H146" s="40"/>
      <c r="I146" s="40"/>
      <c r="J146" s="41"/>
    </row>
    <row r="147" spans="1:10" s="61" customFormat="1" ht="24.95" customHeight="1" x14ac:dyDescent="0.25">
      <c r="A147" s="179" t="s">
        <v>179</v>
      </c>
      <c r="B147" s="180"/>
      <c r="C147" s="181"/>
      <c r="D147" s="118" t="s">
        <v>146</v>
      </c>
      <c r="E147" s="58">
        <f t="shared" ref="E147:E148" si="150">E148</f>
        <v>0</v>
      </c>
      <c r="F147" s="58">
        <f t="shared" ref="F147:J148" si="151">F148</f>
        <v>1600</v>
      </c>
      <c r="G147" s="58">
        <f t="shared" si="151"/>
        <v>1705</v>
      </c>
      <c r="H147" s="58">
        <f t="shared" si="151"/>
        <v>1705</v>
      </c>
      <c r="I147" s="58">
        <f t="shared" si="151"/>
        <v>1705</v>
      </c>
      <c r="J147" s="58">
        <f t="shared" si="151"/>
        <v>1705</v>
      </c>
    </row>
    <row r="148" spans="1:10" ht="24.95" customHeight="1" x14ac:dyDescent="0.25">
      <c r="A148" s="182">
        <v>3</v>
      </c>
      <c r="B148" s="183"/>
      <c r="C148" s="184"/>
      <c r="D148" s="120" t="s">
        <v>13</v>
      </c>
      <c r="E148" s="40">
        <f t="shared" si="150"/>
        <v>0</v>
      </c>
      <c r="F148" s="40">
        <f t="shared" si="151"/>
        <v>1600</v>
      </c>
      <c r="G148" s="40">
        <f t="shared" si="151"/>
        <v>1705</v>
      </c>
      <c r="H148" s="40">
        <f t="shared" si="151"/>
        <v>1705</v>
      </c>
      <c r="I148" s="40">
        <f t="shared" si="151"/>
        <v>1705</v>
      </c>
      <c r="J148" s="40">
        <f t="shared" si="151"/>
        <v>1705</v>
      </c>
    </row>
    <row r="149" spans="1:10" ht="24.95" customHeight="1" x14ac:dyDescent="0.25">
      <c r="A149" s="185">
        <v>32</v>
      </c>
      <c r="B149" s="186"/>
      <c r="C149" s="187"/>
      <c r="D149" s="120" t="s">
        <v>23</v>
      </c>
      <c r="E149" s="40"/>
      <c r="F149" s="40">
        <f>1600</f>
        <v>1600</v>
      </c>
      <c r="G149" s="40">
        <v>1705</v>
      </c>
      <c r="H149" s="40">
        <f>1705</f>
        <v>1705</v>
      </c>
      <c r="I149" s="40">
        <v>1705</v>
      </c>
      <c r="J149" s="41">
        <v>1705</v>
      </c>
    </row>
    <row r="150" spans="1:10" s="61" customFormat="1" ht="24.95" customHeight="1" x14ac:dyDescent="0.25">
      <c r="A150" s="179" t="s">
        <v>68</v>
      </c>
      <c r="B150" s="180"/>
      <c r="C150" s="181"/>
      <c r="D150" s="57" t="s">
        <v>40</v>
      </c>
      <c r="E150" s="58">
        <f t="shared" ref="E150:F151" si="152">E151</f>
        <v>0</v>
      </c>
      <c r="F150" s="58">
        <f t="shared" si="152"/>
        <v>0</v>
      </c>
      <c r="G150" s="58">
        <f t="shared" ref="G150:J151" si="153">G151</f>
        <v>0</v>
      </c>
      <c r="H150" s="58">
        <f t="shared" si="153"/>
        <v>0</v>
      </c>
      <c r="I150" s="58">
        <f t="shared" si="153"/>
        <v>0</v>
      </c>
      <c r="J150" s="58">
        <f t="shared" si="153"/>
        <v>0</v>
      </c>
    </row>
    <row r="151" spans="1:10" ht="24.95" customHeight="1" x14ac:dyDescent="0.25">
      <c r="A151" s="182">
        <v>3</v>
      </c>
      <c r="B151" s="183"/>
      <c r="C151" s="184"/>
      <c r="D151" s="26" t="s">
        <v>13</v>
      </c>
      <c r="E151" s="40">
        <f t="shared" si="152"/>
        <v>0</v>
      </c>
      <c r="F151" s="40">
        <f t="shared" si="152"/>
        <v>0</v>
      </c>
      <c r="G151" s="40">
        <f t="shared" si="153"/>
        <v>0</v>
      </c>
      <c r="H151" s="40">
        <f t="shared" si="153"/>
        <v>0</v>
      </c>
      <c r="I151" s="40">
        <f t="shared" si="153"/>
        <v>0</v>
      </c>
      <c r="J151" s="40">
        <f t="shared" si="153"/>
        <v>0</v>
      </c>
    </row>
    <row r="152" spans="1:10" ht="24.95" customHeight="1" x14ac:dyDescent="0.25">
      <c r="A152" s="185">
        <v>32</v>
      </c>
      <c r="B152" s="186"/>
      <c r="C152" s="187"/>
      <c r="D152" s="47" t="s">
        <v>23</v>
      </c>
      <c r="E152" s="40"/>
      <c r="F152" s="40"/>
      <c r="G152" s="40"/>
      <c r="H152" s="40"/>
      <c r="I152" s="40"/>
      <c r="J152" s="41"/>
    </row>
    <row r="153" spans="1:10" s="61" customFormat="1" ht="24.95" customHeight="1" x14ac:dyDescent="0.25">
      <c r="A153" s="179" t="s">
        <v>186</v>
      </c>
      <c r="B153" s="180"/>
      <c r="C153" s="181"/>
      <c r="D153" s="57" t="s">
        <v>45</v>
      </c>
      <c r="E153" s="58">
        <f t="shared" ref="E153:F154" si="154">E154</f>
        <v>6259.73</v>
      </c>
      <c r="F153" s="58">
        <f t="shared" si="154"/>
        <v>12100</v>
      </c>
      <c r="G153" s="58">
        <f t="shared" ref="G153:J154" si="155">G154</f>
        <v>13100</v>
      </c>
      <c r="H153" s="58">
        <f t="shared" si="155"/>
        <v>5295</v>
      </c>
      <c r="I153" s="58">
        <f t="shared" si="155"/>
        <v>5295</v>
      </c>
      <c r="J153" s="58">
        <f t="shared" si="155"/>
        <v>5295</v>
      </c>
    </row>
    <row r="154" spans="1:10" ht="24.95" customHeight="1" x14ac:dyDescent="0.25">
      <c r="A154" s="182">
        <v>3</v>
      </c>
      <c r="B154" s="183"/>
      <c r="C154" s="184"/>
      <c r="D154" s="47" t="s">
        <v>13</v>
      </c>
      <c r="E154" s="40">
        <f t="shared" si="154"/>
        <v>6259.73</v>
      </c>
      <c r="F154" s="40">
        <f t="shared" si="154"/>
        <v>12100</v>
      </c>
      <c r="G154" s="40">
        <f t="shared" si="155"/>
        <v>13100</v>
      </c>
      <c r="H154" s="40">
        <f t="shared" si="155"/>
        <v>5295</v>
      </c>
      <c r="I154" s="40">
        <f t="shared" si="155"/>
        <v>5295</v>
      </c>
      <c r="J154" s="40">
        <f t="shared" si="155"/>
        <v>5295</v>
      </c>
    </row>
    <row r="155" spans="1:10" ht="24.95" customHeight="1" x14ac:dyDescent="0.25">
      <c r="A155" s="185">
        <v>32</v>
      </c>
      <c r="B155" s="186"/>
      <c r="C155" s="187"/>
      <c r="D155" s="47" t="s">
        <v>23</v>
      </c>
      <c r="E155" s="40">
        <v>6259.73</v>
      </c>
      <c r="F155" s="40">
        <f>12100</f>
        <v>12100</v>
      </c>
      <c r="G155" s="40">
        <v>13100</v>
      </c>
      <c r="H155" s="40">
        <f>5295</f>
        <v>5295</v>
      </c>
      <c r="I155" s="40">
        <f>5295</f>
        <v>5295</v>
      </c>
      <c r="J155" s="40">
        <f>5295</f>
        <v>5295</v>
      </c>
    </row>
    <row r="156" spans="1:10" ht="24.95" customHeight="1" x14ac:dyDescent="0.25">
      <c r="A156" s="176" t="s">
        <v>66</v>
      </c>
      <c r="B156" s="177"/>
      <c r="C156" s="178"/>
      <c r="D156" s="46" t="s">
        <v>67</v>
      </c>
      <c r="E156" s="52">
        <f>E158</f>
        <v>33055.160000000003</v>
      </c>
      <c r="F156" s="52">
        <f>F158</f>
        <v>42000</v>
      </c>
      <c r="G156" s="52">
        <f t="shared" ref="G156:J156" si="156">G158</f>
        <v>43000</v>
      </c>
      <c r="H156" s="52">
        <f t="shared" ref="H156" si="157">H158</f>
        <v>43000</v>
      </c>
      <c r="I156" s="52">
        <f t="shared" ref="I156" si="158">I158</f>
        <v>43000</v>
      </c>
      <c r="J156" s="52">
        <f t="shared" si="156"/>
        <v>43000</v>
      </c>
    </row>
    <row r="157" spans="1:10" s="61" customFormat="1" ht="24.95" customHeight="1" x14ac:dyDescent="0.25">
      <c r="A157" s="179" t="s">
        <v>69</v>
      </c>
      <c r="B157" s="180"/>
      <c r="C157" s="181"/>
      <c r="D157" s="57" t="s">
        <v>11</v>
      </c>
      <c r="E157" s="58">
        <f>E158</f>
        <v>33055.160000000003</v>
      </c>
      <c r="F157" s="58">
        <f>F158</f>
        <v>42000</v>
      </c>
      <c r="G157" s="58">
        <f t="shared" ref="G157:J157" si="159">G158</f>
        <v>43000</v>
      </c>
      <c r="H157" s="58">
        <f t="shared" si="159"/>
        <v>43000</v>
      </c>
      <c r="I157" s="58">
        <f t="shared" si="159"/>
        <v>43000</v>
      </c>
      <c r="J157" s="58">
        <f t="shared" si="159"/>
        <v>43000</v>
      </c>
    </row>
    <row r="158" spans="1:10" ht="24.95" customHeight="1" x14ac:dyDescent="0.25">
      <c r="A158" s="182">
        <v>3</v>
      </c>
      <c r="B158" s="183"/>
      <c r="C158" s="184"/>
      <c r="D158" s="26" t="s">
        <v>13</v>
      </c>
      <c r="E158" s="40">
        <f>E159+E160</f>
        <v>33055.160000000003</v>
      </c>
      <c r="F158" s="40">
        <f>F159+F160</f>
        <v>42000</v>
      </c>
      <c r="G158" s="40">
        <f t="shared" ref="G158:J158" si="160">G159+G160</f>
        <v>43000</v>
      </c>
      <c r="H158" s="40">
        <f t="shared" ref="H158" si="161">H159+H160</f>
        <v>43000</v>
      </c>
      <c r="I158" s="40">
        <f t="shared" ref="I158" si="162">I159+I160</f>
        <v>43000</v>
      </c>
      <c r="J158" s="40">
        <f t="shared" si="160"/>
        <v>43000</v>
      </c>
    </row>
    <row r="159" spans="1:10" ht="24.95" customHeight="1" x14ac:dyDescent="0.25">
      <c r="A159" s="185">
        <v>31</v>
      </c>
      <c r="B159" s="186"/>
      <c r="C159" s="187"/>
      <c r="D159" s="26" t="s">
        <v>14</v>
      </c>
      <c r="E159" s="40">
        <v>29622.27</v>
      </c>
      <c r="F159" s="40">
        <f>33800+1000+1100</f>
        <v>35900</v>
      </c>
      <c r="G159" s="40">
        <f>33800+2000+1000</f>
        <v>36800</v>
      </c>
      <c r="H159" s="40">
        <f>33800+2000+1000</f>
        <v>36800</v>
      </c>
      <c r="I159" s="40">
        <v>36800</v>
      </c>
      <c r="J159" s="41">
        <v>36800</v>
      </c>
    </row>
    <row r="160" spans="1:10" ht="24.95" customHeight="1" x14ac:dyDescent="0.25">
      <c r="A160" s="185">
        <v>32</v>
      </c>
      <c r="B160" s="186"/>
      <c r="C160" s="187"/>
      <c r="D160" s="47" t="s">
        <v>156</v>
      </c>
      <c r="E160" s="40">
        <v>3432.89</v>
      </c>
      <c r="F160" s="40">
        <f>1500+600+1500+2000+500</f>
        <v>6100</v>
      </c>
      <c r="G160" s="40">
        <f>1500+500+1500+2000+700</f>
        <v>6200</v>
      </c>
      <c r="H160" s="40">
        <f>1500+500+1500+2000+700</f>
        <v>6200</v>
      </c>
      <c r="I160" s="40">
        <v>6200</v>
      </c>
      <c r="J160" s="41">
        <v>6200</v>
      </c>
    </row>
    <row r="161" spans="1:10" ht="30" customHeight="1" x14ac:dyDescent="0.25">
      <c r="A161" s="176" t="s">
        <v>154</v>
      </c>
      <c r="B161" s="177"/>
      <c r="C161" s="178"/>
      <c r="D161" s="119" t="s">
        <v>169</v>
      </c>
      <c r="E161" s="52">
        <f>E162+E166+E170</f>
        <v>149912.85999999999</v>
      </c>
      <c r="F161" s="52">
        <f>F162+F166+F170</f>
        <v>187700</v>
      </c>
      <c r="G161" s="52">
        <f t="shared" ref="G161:J161" si="163">G162+G166+G170</f>
        <v>180000</v>
      </c>
      <c r="H161" s="52">
        <f t="shared" ref="H161" si="164">H162+H166+H170</f>
        <v>222000</v>
      </c>
      <c r="I161" s="52">
        <f t="shared" ref="I161" si="165">I162+I166+I170</f>
        <v>222000</v>
      </c>
      <c r="J161" s="52">
        <f t="shared" si="163"/>
        <v>222000</v>
      </c>
    </row>
    <row r="162" spans="1:10" s="61" customFormat="1" ht="24.95" customHeight="1" x14ac:dyDescent="0.25">
      <c r="A162" s="179" t="s">
        <v>69</v>
      </c>
      <c r="B162" s="180"/>
      <c r="C162" s="181"/>
      <c r="D162" s="118" t="s">
        <v>11</v>
      </c>
      <c r="E162" s="58">
        <f>E163</f>
        <v>76038.649999999994</v>
      </c>
      <c r="F162" s="58">
        <f>F163</f>
        <v>47583.439999999995</v>
      </c>
      <c r="G162" s="58">
        <f t="shared" ref="G162:J162" si="166">G163</f>
        <v>27000</v>
      </c>
      <c r="H162" s="58">
        <f t="shared" si="166"/>
        <v>33300</v>
      </c>
      <c r="I162" s="58">
        <f t="shared" si="166"/>
        <v>33300</v>
      </c>
      <c r="J162" s="58">
        <f t="shared" si="166"/>
        <v>33300</v>
      </c>
    </row>
    <row r="163" spans="1:10" ht="24.95" customHeight="1" x14ac:dyDescent="0.25">
      <c r="A163" s="182">
        <v>3</v>
      </c>
      <c r="B163" s="183"/>
      <c r="C163" s="184"/>
      <c r="D163" s="120" t="s">
        <v>13</v>
      </c>
      <c r="E163" s="40">
        <f>SUM(E164:E165)</f>
        <v>76038.649999999994</v>
      </c>
      <c r="F163" s="40">
        <f>SUM(F164:F165)</f>
        <v>47583.439999999995</v>
      </c>
      <c r="G163" s="40">
        <f t="shared" ref="G163:J163" si="167">SUM(G164:G165)</f>
        <v>27000</v>
      </c>
      <c r="H163" s="40">
        <f t="shared" ref="H163" si="168">SUM(H164:H165)</f>
        <v>33300</v>
      </c>
      <c r="I163" s="40">
        <f t="shared" ref="I163" si="169">SUM(I164:I165)</f>
        <v>33300</v>
      </c>
      <c r="J163" s="40">
        <f t="shared" si="167"/>
        <v>33300</v>
      </c>
    </row>
    <row r="164" spans="1:10" ht="24.95" customHeight="1" x14ac:dyDescent="0.25">
      <c r="A164" s="185">
        <v>31</v>
      </c>
      <c r="B164" s="186"/>
      <c r="C164" s="187"/>
      <c r="D164" s="120" t="s">
        <v>14</v>
      </c>
      <c r="E164" s="40">
        <v>71796.009999999995</v>
      </c>
      <c r="F164" s="40">
        <f>37897.09+1491.22+6198.1</f>
        <v>45586.409999999996</v>
      </c>
      <c r="G164" s="40">
        <f>20400+1500+3750</f>
        <v>25650</v>
      </c>
      <c r="H164" s="40">
        <f>26100+1575+4290</f>
        <v>31965</v>
      </c>
      <c r="I164" s="40">
        <f t="shared" ref="I164:J164" si="170">26100+1575+4290</f>
        <v>31965</v>
      </c>
      <c r="J164" s="40">
        <f t="shared" si="170"/>
        <v>31965</v>
      </c>
    </row>
    <row r="165" spans="1:10" ht="24.95" customHeight="1" x14ac:dyDescent="0.25">
      <c r="A165" s="185">
        <v>32</v>
      </c>
      <c r="B165" s="186"/>
      <c r="C165" s="187"/>
      <c r="D165" s="120" t="s">
        <v>120</v>
      </c>
      <c r="E165" s="40">
        <v>4242.6400000000003</v>
      </c>
      <c r="F165" s="40">
        <f>1956.53+40.5</f>
        <v>1997.03</v>
      </c>
      <c r="G165" s="40">
        <f>150+1200</f>
        <v>1350</v>
      </c>
      <c r="H165" s="40">
        <f>75+1260</f>
        <v>1335</v>
      </c>
      <c r="I165" s="40">
        <f t="shared" ref="I165:J165" si="171">75+1260</f>
        <v>1335</v>
      </c>
      <c r="J165" s="40">
        <f t="shared" si="171"/>
        <v>1335</v>
      </c>
    </row>
    <row r="166" spans="1:10" s="61" customFormat="1" ht="24.95" customHeight="1" x14ac:dyDescent="0.25">
      <c r="A166" s="179" t="s">
        <v>187</v>
      </c>
      <c r="B166" s="180"/>
      <c r="C166" s="181"/>
      <c r="D166" s="118" t="s">
        <v>146</v>
      </c>
      <c r="E166" s="58">
        <f>E167</f>
        <v>11081.15</v>
      </c>
      <c r="F166" s="58">
        <f>F167</f>
        <v>21017.489999999998</v>
      </c>
      <c r="G166" s="58">
        <f t="shared" ref="G166:J166" si="172">G167</f>
        <v>22950</v>
      </c>
      <c r="H166" s="58">
        <f t="shared" si="172"/>
        <v>28305</v>
      </c>
      <c r="I166" s="58">
        <f t="shared" si="172"/>
        <v>28305</v>
      </c>
      <c r="J166" s="58">
        <f t="shared" si="172"/>
        <v>28305</v>
      </c>
    </row>
    <row r="167" spans="1:10" ht="24.95" customHeight="1" x14ac:dyDescent="0.25">
      <c r="A167" s="182">
        <v>3</v>
      </c>
      <c r="B167" s="183"/>
      <c r="C167" s="184"/>
      <c r="D167" s="120" t="s">
        <v>13</v>
      </c>
      <c r="E167" s="40">
        <f>SUM(E168:E169)</f>
        <v>11081.15</v>
      </c>
      <c r="F167" s="40">
        <f>SUM(F168:F169)</f>
        <v>21017.489999999998</v>
      </c>
      <c r="G167" s="40">
        <f t="shared" ref="G167:J167" si="173">SUM(G168:G169)</f>
        <v>22950</v>
      </c>
      <c r="H167" s="40">
        <f t="shared" ref="H167" si="174">SUM(H168:H169)</f>
        <v>28305</v>
      </c>
      <c r="I167" s="40">
        <f t="shared" ref="I167" si="175">SUM(I168:I169)</f>
        <v>28305</v>
      </c>
      <c r="J167" s="40">
        <f t="shared" si="173"/>
        <v>28305</v>
      </c>
    </row>
    <row r="168" spans="1:10" ht="24.95" customHeight="1" x14ac:dyDescent="0.25">
      <c r="A168" s="185">
        <v>31</v>
      </c>
      <c r="B168" s="186"/>
      <c r="C168" s="187"/>
      <c r="D168" s="120" t="s">
        <v>14</v>
      </c>
      <c r="E168" s="40">
        <v>10462.99</v>
      </c>
      <c r="F168" s="40">
        <f>2643.94+1267.53+16119.33</f>
        <v>20030.8</v>
      </c>
      <c r="G168" s="40">
        <f>3187.5+1275+17340</f>
        <v>21802.5</v>
      </c>
      <c r="H168" s="40">
        <f>3646.5+1338.75+22185</f>
        <v>27170.25</v>
      </c>
      <c r="I168" s="40">
        <f t="shared" ref="I168:J168" si="176">3646.5+1338.75+22185</f>
        <v>27170.25</v>
      </c>
      <c r="J168" s="40">
        <f t="shared" si="176"/>
        <v>27170.25</v>
      </c>
    </row>
    <row r="169" spans="1:10" ht="24.95" customHeight="1" x14ac:dyDescent="0.25">
      <c r="A169" s="185">
        <v>32</v>
      </c>
      <c r="B169" s="186"/>
      <c r="C169" s="187"/>
      <c r="D169" s="120" t="s">
        <v>83</v>
      </c>
      <c r="E169" s="40">
        <v>618.16</v>
      </c>
      <c r="F169" s="40">
        <f>952.26+34.43</f>
        <v>986.68999999999994</v>
      </c>
      <c r="G169" s="40">
        <f>1020+127.5</f>
        <v>1147.5</v>
      </c>
      <c r="H169" s="40">
        <f>1071+63.75</f>
        <v>1134.75</v>
      </c>
      <c r="I169" s="40">
        <f t="shared" ref="I169:J169" si="177">1071+63.75</f>
        <v>1134.75</v>
      </c>
      <c r="J169" s="40">
        <f t="shared" si="177"/>
        <v>1134.75</v>
      </c>
    </row>
    <row r="170" spans="1:10" s="61" customFormat="1" ht="24.95" customHeight="1" x14ac:dyDescent="0.25">
      <c r="A170" s="179" t="s">
        <v>186</v>
      </c>
      <c r="B170" s="180"/>
      <c r="C170" s="181"/>
      <c r="D170" s="118" t="s">
        <v>45</v>
      </c>
      <c r="E170" s="58">
        <f>E171</f>
        <v>62793.06</v>
      </c>
      <c r="F170" s="58">
        <f>F171</f>
        <v>119099.07</v>
      </c>
      <c r="G170" s="58">
        <f t="shared" ref="G170:J170" si="178">G171</f>
        <v>130050</v>
      </c>
      <c r="H170" s="58">
        <f t="shared" si="178"/>
        <v>160395</v>
      </c>
      <c r="I170" s="58">
        <f t="shared" si="178"/>
        <v>160395</v>
      </c>
      <c r="J170" s="58">
        <f t="shared" si="178"/>
        <v>160395</v>
      </c>
    </row>
    <row r="171" spans="1:10" ht="24.95" customHeight="1" x14ac:dyDescent="0.25">
      <c r="A171" s="182">
        <v>3</v>
      </c>
      <c r="B171" s="183"/>
      <c r="C171" s="184"/>
      <c r="D171" s="120" t="s">
        <v>13</v>
      </c>
      <c r="E171" s="40">
        <f>SUM(E172:E173)</f>
        <v>62793.06</v>
      </c>
      <c r="F171" s="40">
        <f>SUM(F172:F173)</f>
        <v>119099.07</v>
      </c>
      <c r="G171" s="40">
        <f t="shared" ref="G171:J171" si="179">SUM(G172:G173)</f>
        <v>130050</v>
      </c>
      <c r="H171" s="40">
        <f t="shared" ref="H171" si="180">SUM(H172:H173)</f>
        <v>160395</v>
      </c>
      <c r="I171" s="40">
        <f t="shared" ref="I171" si="181">SUM(I172:I173)</f>
        <v>160395</v>
      </c>
      <c r="J171" s="40">
        <f t="shared" si="179"/>
        <v>160395</v>
      </c>
    </row>
    <row r="172" spans="1:10" ht="24.95" customHeight="1" x14ac:dyDescent="0.25">
      <c r="A172" s="185">
        <v>31</v>
      </c>
      <c r="B172" s="186"/>
      <c r="C172" s="187"/>
      <c r="D172" s="120" t="s">
        <v>14</v>
      </c>
      <c r="E172" s="40">
        <v>59289.04</v>
      </c>
      <c r="F172" s="40">
        <f>91342.84+7182.69+14982.3</f>
        <v>113507.83</v>
      </c>
      <c r="G172" s="40">
        <f>98260+7225+18062.5</f>
        <v>123547.5</v>
      </c>
      <c r="H172" s="40">
        <f>125715+7586.25+20663.5</f>
        <v>153964.75</v>
      </c>
      <c r="I172" s="40">
        <f t="shared" ref="I172:J172" si="182">125715+7586.25+20663.5</f>
        <v>153964.75</v>
      </c>
      <c r="J172" s="40">
        <f t="shared" si="182"/>
        <v>153964.75</v>
      </c>
    </row>
    <row r="173" spans="1:10" ht="24.95" customHeight="1" x14ac:dyDescent="0.25">
      <c r="A173" s="185">
        <v>32</v>
      </c>
      <c r="B173" s="186"/>
      <c r="C173" s="187"/>
      <c r="D173" s="120" t="s">
        <v>83</v>
      </c>
      <c r="E173" s="40">
        <v>3504.02</v>
      </c>
      <c r="F173" s="40">
        <f>195.08+5396.16</f>
        <v>5591.24</v>
      </c>
      <c r="G173" s="40">
        <f>722.5+5780</f>
        <v>6502.5</v>
      </c>
      <c r="H173" s="40">
        <f>361.25+6069</f>
        <v>6430.25</v>
      </c>
      <c r="I173" s="40">
        <f t="shared" ref="I173:J173" si="183">361.25+6069</f>
        <v>6430.25</v>
      </c>
      <c r="J173" s="40">
        <f t="shared" si="183"/>
        <v>6430.25</v>
      </c>
    </row>
  </sheetData>
  <mergeCells count="166">
    <mergeCell ref="A109:C109"/>
    <mergeCell ref="A118:C118"/>
    <mergeCell ref="A119:C119"/>
    <mergeCell ref="A114:C114"/>
    <mergeCell ref="A115:C115"/>
    <mergeCell ref="A130:C130"/>
    <mergeCell ref="A142:C142"/>
    <mergeCell ref="A143:C143"/>
    <mergeCell ref="A74:C74"/>
    <mergeCell ref="A76:C76"/>
    <mergeCell ref="A83:C83"/>
    <mergeCell ref="A85:C85"/>
    <mergeCell ref="A92:C92"/>
    <mergeCell ref="A135:C135"/>
    <mergeCell ref="A106:C106"/>
    <mergeCell ref="A100:C100"/>
    <mergeCell ref="A107:C107"/>
    <mergeCell ref="A121:C121"/>
    <mergeCell ref="A90:C90"/>
    <mergeCell ref="A91:C91"/>
    <mergeCell ref="A93:C93"/>
    <mergeCell ref="A94:C94"/>
    <mergeCell ref="A78:C78"/>
    <mergeCell ref="A11:C11"/>
    <mergeCell ref="A12:C12"/>
    <mergeCell ref="A13:C13"/>
    <mergeCell ref="A51:C51"/>
    <mergeCell ref="A25:C25"/>
    <mergeCell ref="A26:C26"/>
    <mergeCell ref="A6:C6"/>
    <mergeCell ref="A7:C7"/>
    <mergeCell ref="A3:J3"/>
    <mergeCell ref="A5:C5"/>
    <mergeCell ref="A14:C14"/>
    <mergeCell ref="A16:C16"/>
    <mergeCell ref="A19:C19"/>
    <mergeCell ref="A20:C20"/>
    <mergeCell ref="A35:C35"/>
    <mergeCell ref="A27:C27"/>
    <mergeCell ref="A28:C28"/>
    <mergeCell ref="A29:C29"/>
    <mergeCell ref="A30:C30"/>
    <mergeCell ref="A23:C23"/>
    <mergeCell ref="A24:C24"/>
    <mergeCell ref="A152:C152"/>
    <mergeCell ref="A136:C136"/>
    <mergeCell ref="A137:C137"/>
    <mergeCell ref="A138:C138"/>
    <mergeCell ref="A139:C139"/>
    <mergeCell ref="A140:C140"/>
    <mergeCell ref="A103:C103"/>
    <mergeCell ref="A104:C104"/>
    <mergeCell ref="A79:C79"/>
    <mergeCell ref="A141:C141"/>
    <mergeCell ref="A150:C150"/>
    <mergeCell ref="A97:C97"/>
    <mergeCell ref="A147:C147"/>
    <mergeCell ref="A148:C148"/>
    <mergeCell ref="A149:C149"/>
    <mergeCell ref="A133:C133"/>
    <mergeCell ref="A134:C134"/>
    <mergeCell ref="A126:C126"/>
    <mergeCell ref="A127:C127"/>
    <mergeCell ref="A128:C128"/>
    <mergeCell ref="A129:C129"/>
    <mergeCell ref="A132:C132"/>
    <mergeCell ref="A131:C131"/>
    <mergeCell ref="A80:C80"/>
    <mergeCell ref="A154:C154"/>
    <mergeCell ref="A159:C159"/>
    <mergeCell ref="A168:C168"/>
    <mergeCell ref="A169:C169"/>
    <mergeCell ref="A170:C170"/>
    <mergeCell ref="A171:C171"/>
    <mergeCell ref="A172:C172"/>
    <mergeCell ref="A167:C167"/>
    <mergeCell ref="A162:C162"/>
    <mergeCell ref="A163:C163"/>
    <mergeCell ref="A164:C164"/>
    <mergeCell ref="A165:C165"/>
    <mergeCell ref="A161:C161"/>
    <mergeCell ref="A173:C173"/>
    <mergeCell ref="A123:C123"/>
    <mergeCell ref="A99:C99"/>
    <mergeCell ref="A101:C101"/>
    <mergeCell ref="A102:C102"/>
    <mergeCell ref="A112:C112"/>
    <mergeCell ref="A113:C113"/>
    <mergeCell ref="A122:C122"/>
    <mergeCell ref="A144:C144"/>
    <mergeCell ref="A156:C156"/>
    <mergeCell ref="A157:C157"/>
    <mergeCell ref="A158:C158"/>
    <mergeCell ref="A160:C160"/>
    <mergeCell ref="A151:C151"/>
    <mergeCell ref="A155:C155"/>
    <mergeCell ref="A146:C146"/>
    <mergeCell ref="A117:C117"/>
    <mergeCell ref="A120:C120"/>
    <mergeCell ref="A124:C124"/>
    <mergeCell ref="A125:C125"/>
    <mergeCell ref="A145:C145"/>
    <mergeCell ref="A116:C116"/>
    <mergeCell ref="A166:C166"/>
    <mergeCell ref="A153:C153"/>
    <mergeCell ref="A66:C66"/>
    <mergeCell ref="A67:C67"/>
    <mergeCell ref="A68:C68"/>
    <mergeCell ref="A69:C69"/>
    <mergeCell ref="A96:C96"/>
    <mergeCell ref="A70:C70"/>
    <mergeCell ref="A73:C73"/>
    <mergeCell ref="A110:C110"/>
    <mergeCell ref="A111:C111"/>
    <mergeCell ref="A108:C108"/>
    <mergeCell ref="A71:C71"/>
    <mergeCell ref="A81:C81"/>
    <mergeCell ref="A82:C82"/>
    <mergeCell ref="A86:C86"/>
    <mergeCell ref="A87:C87"/>
    <mergeCell ref="A84:C84"/>
    <mergeCell ref="A88:C88"/>
    <mergeCell ref="A89:C89"/>
    <mergeCell ref="A95:C95"/>
    <mergeCell ref="A72:C72"/>
    <mergeCell ref="A75:C75"/>
    <mergeCell ref="A77:C77"/>
    <mergeCell ref="A98:C98"/>
    <mergeCell ref="A105:C105"/>
    <mergeCell ref="A58:C58"/>
    <mergeCell ref="A65:C65"/>
    <mergeCell ref="A52:C52"/>
    <mergeCell ref="A49:C49"/>
    <mergeCell ref="A50:C50"/>
    <mergeCell ref="A43:C43"/>
    <mergeCell ref="A44:C44"/>
    <mergeCell ref="A63:C63"/>
    <mergeCell ref="A64:C64"/>
    <mergeCell ref="A62:C62"/>
    <mergeCell ref="A53:C53"/>
    <mergeCell ref="A45:C45"/>
    <mergeCell ref="A48:C48"/>
    <mergeCell ref="A31:C31"/>
    <mergeCell ref="A32:C32"/>
    <mergeCell ref="A33:C33"/>
    <mergeCell ref="A34:C34"/>
    <mergeCell ref="A46:C46"/>
    <mergeCell ref="A47:C47"/>
    <mergeCell ref="A1:J1"/>
    <mergeCell ref="A54:C54"/>
    <mergeCell ref="A55:C55"/>
    <mergeCell ref="A8:C8"/>
    <mergeCell ref="A9:C9"/>
    <mergeCell ref="A37:C37"/>
    <mergeCell ref="A38:C38"/>
    <mergeCell ref="A39:C39"/>
    <mergeCell ref="A40:C40"/>
    <mergeCell ref="A41:C41"/>
    <mergeCell ref="A42:C42"/>
    <mergeCell ref="A10:C10"/>
    <mergeCell ref="A36:C36"/>
    <mergeCell ref="A17:C17"/>
    <mergeCell ref="A18:C18"/>
    <mergeCell ref="A21:C21"/>
    <mergeCell ref="A22:C22"/>
    <mergeCell ref="A15:C15"/>
  </mergeCells>
  <pageMargins left="0.31496062992125984" right="0.31496062992125984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SAŽETAK</vt:lpstr>
      <vt:lpstr> Račun prihoda i rashoda po eko</vt:lpstr>
      <vt:lpstr>Prihodi i rashodi po izvorima</vt:lpstr>
      <vt:lpstr>Rashodi prema funkcijskoj kl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2026-10-23T09:03:10Z</cp:lastPrinted>
  <dcterms:created xsi:type="dcterms:W3CDTF">2022-08-12T12:51:27Z</dcterms:created>
  <dcterms:modified xsi:type="dcterms:W3CDTF">2026-10-23T09:04:01Z</dcterms:modified>
</cp:coreProperties>
</file>