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AŽETAK" sheetId="8" r:id="rId1"/>
    <sheet name=" Račun prihoda i rashoda po eko" sheetId="9" r:id="rId2"/>
    <sheet name="Prihodi i rashodi po izvorima" sheetId="11" r:id="rId3"/>
    <sheet name="Rashodi prema funkcijskoj kl" sheetId="5" r:id="rId4"/>
    <sheet name="POSEBNI DIO" sheetId="7" r:id="rId5"/>
    <sheet name="IZVORI" sheetId="12" r:id="rId6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2" l="1"/>
  <c r="G6" i="12"/>
  <c r="E6" i="12"/>
  <c r="E4" i="12"/>
  <c r="E184" i="12"/>
  <c r="G184" i="12" s="1"/>
  <c r="E183" i="12"/>
  <c r="G183" i="12" s="1"/>
  <c r="G182" i="12" s="1"/>
  <c r="G181" i="12" s="1"/>
  <c r="E180" i="12"/>
  <c r="G180" i="12" s="1"/>
  <c r="E179" i="12"/>
  <c r="G179" i="12" s="1"/>
  <c r="E176" i="12"/>
  <c r="G176" i="12" s="1"/>
  <c r="G175" i="12"/>
  <c r="E175" i="12"/>
  <c r="F175" i="12" s="1"/>
  <c r="G171" i="12"/>
  <c r="F171" i="12"/>
  <c r="F169" i="12" s="1"/>
  <c r="F168" i="12" s="1"/>
  <c r="G170" i="12"/>
  <c r="F170" i="12"/>
  <c r="E169" i="12"/>
  <c r="E168" i="12" s="1"/>
  <c r="G164" i="12"/>
  <c r="G163" i="12" s="1"/>
  <c r="F164" i="12"/>
  <c r="F163" i="12" s="1"/>
  <c r="E164" i="12"/>
  <c r="E163" i="12"/>
  <c r="G160" i="12"/>
  <c r="G159" i="12" s="1"/>
  <c r="F160" i="12"/>
  <c r="F159" i="12" s="1"/>
  <c r="E160" i="12"/>
  <c r="E159" i="12" s="1"/>
  <c r="G156" i="12"/>
  <c r="G155" i="12" s="1"/>
  <c r="F156" i="12"/>
  <c r="F155" i="12" s="1"/>
  <c r="E156" i="12"/>
  <c r="E155" i="12" s="1"/>
  <c r="G152" i="12"/>
  <c r="G151" i="12" s="1"/>
  <c r="F152" i="12"/>
  <c r="F151" i="12" s="1"/>
  <c r="E152" i="12"/>
  <c r="E151" i="12" s="1"/>
  <c r="G150" i="12"/>
  <c r="G149" i="12" s="1"/>
  <c r="G148" i="12" s="1"/>
  <c r="F150" i="12"/>
  <c r="F149" i="12" s="1"/>
  <c r="F148" i="12" s="1"/>
  <c r="E149" i="12"/>
  <c r="E148" i="12" s="1"/>
  <c r="G147" i="12"/>
  <c r="G146" i="12" s="1"/>
  <c r="G145" i="12" s="1"/>
  <c r="F147" i="12"/>
  <c r="F146" i="12" s="1"/>
  <c r="F145" i="12" s="1"/>
  <c r="E146" i="12"/>
  <c r="E145" i="12" s="1"/>
  <c r="G143" i="12"/>
  <c r="G142" i="12" s="1"/>
  <c r="F143" i="12"/>
  <c r="F142" i="12" s="1"/>
  <c r="E143" i="12"/>
  <c r="E142" i="12" s="1"/>
  <c r="G140" i="12"/>
  <c r="F140" i="12"/>
  <c r="E140" i="12"/>
  <c r="G139" i="12"/>
  <c r="F139" i="12"/>
  <c r="F138" i="12" s="1"/>
  <c r="G138" i="12"/>
  <c r="G137" i="12" s="1"/>
  <c r="E138" i="12"/>
  <c r="E137" i="12" s="1"/>
  <c r="G135" i="12"/>
  <c r="G134" i="12" s="1"/>
  <c r="F135" i="12"/>
  <c r="F134" i="12"/>
  <c r="F133" i="12" s="1"/>
  <c r="E134" i="12"/>
  <c r="E133" i="12" s="1"/>
  <c r="G131" i="12"/>
  <c r="F131" i="12"/>
  <c r="G130" i="12"/>
  <c r="F130" i="12"/>
  <c r="E129" i="12"/>
  <c r="E128" i="12" s="1"/>
  <c r="G125" i="12"/>
  <c r="G124" i="12" s="1"/>
  <c r="F125" i="12"/>
  <c r="F124" i="12" s="1"/>
  <c r="F123" i="12" s="1"/>
  <c r="E124" i="12"/>
  <c r="E123" i="12" s="1"/>
  <c r="G119" i="12"/>
  <c r="F119" i="12"/>
  <c r="E119" i="12"/>
  <c r="G118" i="12"/>
  <c r="G117" i="12" s="1"/>
  <c r="F118" i="12"/>
  <c r="F117" i="12" s="1"/>
  <c r="E117" i="12"/>
  <c r="G115" i="12"/>
  <c r="F115" i="12"/>
  <c r="E115" i="12"/>
  <c r="G114" i="12"/>
  <c r="F114" i="12"/>
  <c r="G113" i="12"/>
  <c r="F113" i="12"/>
  <c r="E113" i="12"/>
  <c r="G112" i="12"/>
  <c r="G111" i="12" s="1"/>
  <c r="F112" i="12"/>
  <c r="F111" i="12" s="1"/>
  <c r="E111" i="12"/>
  <c r="G110" i="12"/>
  <c r="G109" i="12" s="1"/>
  <c r="F110" i="12"/>
  <c r="F109" i="12" s="1"/>
  <c r="E109" i="12"/>
  <c r="G108" i="12"/>
  <c r="F108" i="12"/>
  <c r="F107" i="12" s="1"/>
  <c r="G107" i="12"/>
  <c r="E107" i="12"/>
  <c r="G106" i="12"/>
  <c r="G105" i="12" s="1"/>
  <c r="F106" i="12"/>
  <c r="F105" i="12" s="1"/>
  <c r="E105" i="12"/>
  <c r="G104" i="12"/>
  <c r="G103" i="12" s="1"/>
  <c r="F104" i="12"/>
  <c r="F103" i="12" s="1"/>
  <c r="E103" i="12"/>
  <c r="G100" i="12"/>
  <c r="F100" i="12"/>
  <c r="E100" i="12"/>
  <c r="G98" i="12"/>
  <c r="F98" i="12"/>
  <c r="E98" i="12"/>
  <c r="G96" i="12"/>
  <c r="F96" i="12"/>
  <c r="E96" i="12"/>
  <c r="G95" i="12"/>
  <c r="G94" i="12" s="1"/>
  <c r="F95" i="12"/>
  <c r="F93" i="12" s="1"/>
  <c r="G92" i="12"/>
  <c r="G91" i="12" s="1"/>
  <c r="F92" i="12"/>
  <c r="F91" i="12"/>
  <c r="E91" i="12"/>
  <c r="G90" i="12"/>
  <c r="G89" i="12" s="1"/>
  <c r="F90" i="12"/>
  <c r="F89" i="12" s="1"/>
  <c r="E89" i="12"/>
  <c r="G87" i="12"/>
  <c r="G86" i="12" s="1"/>
  <c r="G85" i="12" s="1"/>
  <c r="F87" i="12"/>
  <c r="F86" i="12" s="1"/>
  <c r="F85" i="12" s="1"/>
  <c r="E86" i="12"/>
  <c r="E85" i="12" s="1"/>
  <c r="G84" i="12"/>
  <c r="F84" i="12"/>
  <c r="G83" i="12"/>
  <c r="F83" i="12"/>
  <c r="G82" i="12"/>
  <c r="F82" i="12"/>
  <c r="E81" i="12"/>
  <c r="E80" i="12" s="1"/>
  <c r="G79" i="12"/>
  <c r="G78" i="12" s="1"/>
  <c r="F79" i="12"/>
  <c r="F78" i="12" s="1"/>
  <c r="E78" i="12"/>
  <c r="G77" i="12"/>
  <c r="F77" i="12"/>
  <c r="F76" i="12" s="1"/>
  <c r="G76" i="12"/>
  <c r="E76" i="12"/>
  <c r="G75" i="12"/>
  <c r="G74" i="12" s="1"/>
  <c r="F75" i="12"/>
  <c r="F74" i="12" s="1"/>
  <c r="E74" i="12"/>
  <c r="G73" i="12"/>
  <c r="F73" i="12"/>
  <c r="F72" i="12"/>
  <c r="G72" i="12" s="1"/>
  <c r="G71" i="12" s="1"/>
  <c r="G70" i="12" s="1"/>
  <c r="E71" i="12"/>
  <c r="E70" i="12" s="1"/>
  <c r="G68" i="12"/>
  <c r="F68" i="12"/>
  <c r="F67" i="12" s="1"/>
  <c r="G67" i="12"/>
  <c r="E67" i="12"/>
  <c r="G66" i="12"/>
  <c r="F66" i="12"/>
  <c r="G65" i="12"/>
  <c r="F65" i="12"/>
  <c r="E64" i="12"/>
  <c r="E63" i="12"/>
  <c r="G60" i="12"/>
  <c r="G59" i="12" s="1"/>
  <c r="F60" i="12"/>
  <c r="F59" i="12" s="1"/>
  <c r="E60" i="12"/>
  <c r="E59" i="12" s="1"/>
  <c r="G55" i="12"/>
  <c r="F55" i="12"/>
  <c r="E55" i="12"/>
  <c r="G54" i="12"/>
  <c r="F54" i="12"/>
  <c r="E53" i="12"/>
  <c r="E52" i="12" s="1"/>
  <c r="G47" i="12"/>
  <c r="G46" i="12" s="1"/>
  <c r="F47" i="12"/>
  <c r="F46" i="12" s="1"/>
  <c r="E47" i="12"/>
  <c r="E46" i="12" s="1"/>
  <c r="G43" i="12"/>
  <c r="F43" i="12"/>
  <c r="F42" i="12" s="1"/>
  <c r="E43" i="12"/>
  <c r="E42" i="12" s="1"/>
  <c r="G42" i="12"/>
  <c r="G40" i="12"/>
  <c r="G39" i="12" s="1"/>
  <c r="F40" i="12"/>
  <c r="F39" i="12" s="1"/>
  <c r="E40" i="12"/>
  <c r="E39" i="12" s="1"/>
  <c r="G37" i="12"/>
  <c r="F37" i="12"/>
  <c r="F36" i="12" s="1"/>
  <c r="E37" i="12"/>
  <c r="E36" i="12" s="1"/>
  <c r="G36" i="12"/>
  <c r="G34" i="12"/>
  <c r="F34" i="12"/>
  <c r="F33" i="12" s="1"/>
  <c r="E34" i="12"/>
  <c r="E33" i="12" s="1"/>
  <c r="G33" i="12"/>
  <c r="G31" i="12"/>
  <c r="G30" i="12" s="1"/>
  <c r="F31" i="12"/>
  <c r="F30" i="12" s="1"/>
  <c r="E30" i="12"/>
  <c r="E29" i="12" s="1"/>
  <c r="E28" i="12"/>
  <c r="G26" i="12"/>
  <c r="G25" i="12" s="1"/>
  <c r="F26" i="12"/>
  <c r="F25" i="12" s="1"/>
  <c r="E25" i="12"/>
  <c r="E24" i="12"/>
  <c r="G22" i="12"/>
  <c r="F22" i="12"/>
  <c r="F21" i="12" s="1"/>
  <c r="G21" i="12"/>
  <c r="G20" i="12" s="1"/>
  <c r="E21" i="12"/>
  <c r="E20" i="12"/>
  <c r="E19" i="12"/>
  <c r="G18" i="12"/>
  <c r="F18" i="12"/>
  <c r="F17" i="12" s="1"/>
  <c r="F15" i="12" s="1"/>
  <c r="G17" i="12"/>
  <c r="G16" i="12" s="1"/>
  <c r="E17" i="12"/>
  <c r="E16" i="12"/>
  <c r="E15" i="12"/>
  <c r="G14" i="12"/>
  <c r="G13" i="12" s="1"/>
  <c r="F14" i="12"/>
  <c r="F13" i="12" s="1"/>
  <c r="F12" i="12" s="1"/>
  <c r="E13" i="12"/>
  <c r="E12" i="12" s="1"/>
  <c r="G10" i="12"/>
  <c r="G9" i="12" s="1"/>
  <c r="G8" i="12" s="1"/>
  <c r="F10" i="12"/>
  <c r="F9" i="12" s="1"/>
  <c r="F8" i="12" s="1"/>
  <c r="E9" i="12"/>
  <c r="E8" i="12" s="1"/>
  <c r="E7" i="12" l="1"/>
  <c r="G93" i="12"/>
  <c r="G174" i="12"/>
  <c r="G173" i="12" s="1"/>
  <c r="F94" i="12"/>
  <c r="F71" i="12"/>
  <c r="F70" i="12" s="1"/>
  <c r="E167" i="12"/>
  <c r="G12" i="12"/>
  <c r="G11" i="12"/>
  <c r="F29" i="12"/>
  <c r="F28" i="12"/>
  <c r="F137" i="12"/>
  <c r="F136" i="12" s="1"/>
  <c r="G136" i="12"/>
  <c r="G15" i="12"/>
  <c r="G81" i="12"/>
  <c r="G80" i="12" s="1"/>
  <c r="G169" i="12"/>
  <c r="E178" i="12"/>
  <c r="E177" i="12" s="1"/>
  <c r="F183" i="12"/>
  <c r="E174" i="12"/>
  <c r="E173" i="12" s="1"/>
  <c r="E51" i="12"/>
  <c r="E50" i="12" s="1"/>
  <c r="F64" i="12"/>
  <c r="F63" i="12" s="1"/>
  <c r="F129" i="12"/>
  <c r="F128" i="12" s="1"/>
  <c r="F179" i="12"/>
  <c r="F178" i="12" s="1"/>
  <c r="F177" i="12" s="1"/>
  <c r="F53" i="12"/>
  <c r="F52" i="12" s="1"/>
  <c r="F51" i="12" s="1"/>
  <c r="F50" i="12" s="1"/>
  <c r="G64" i="12"/>
  <c r="G63" i="12" s="1"/>
  <c r="F81" i="12"/>
  <c r="F80" i="12" s="1"/>
  <c r="G129" i="12"/>
  <c r="G128" i="12" s="1"/>
  <c r="F7" i="12"/>
  <c r="G7" i="12"/>
  <c r="G19" i="12"/>
  <c r="E11" i="12"/>
  <c r="F11" i="12"/>
  <c r="G24" i="12"/>
  <c r="F19" i="12"/>
  <c r="F20" i="12"/>
  <c r="G28" i="12"/>
  <c r="G29" i="12"/>
  <c r="G167" i="12"/>
  <c r="G168" i="12"/>
  <c r="G123" i="12"/>
  <c r="G133" i="12"/>
  <c r="F24" i="12"/>
  <c r="E136" i="12"/>
  <c r="G178" i="12"/>
  <c r="G177" i="12" s="1"/>
  <c r="F167" i="12"/>
  <c r="E182" i="12"/>
  <c r="E181" i="12" s="1"/>
  <c r="F16" i="12"/>
  <c r="G53" i="12"/>
  <c r="G52" i="12" s="1"/>
  <c r="G51" i="12" s="1"/>
  <c r="G50" i="12" s="1"/>
  <c r="F176" i="12"/>
  <c r="F174" i="12" s="1"/>
  <c r="F173" i="12" s="1"/>
  <c r="F180" i="12"/>
  <c r="F184" i="12"/>
  <c r="F4" i="12" l="1"/>
  <c r="F182" i="12"/>
  <c r="F181" i="12" s="1"/>
  <c r="G4" i="12" l="1"/>
  <c r="F12" i="5"/>
  <c r="E12" i="5"/>
  <c r="E13" i="5"/>
  <c r="F13" i="5"/>
  <c r="D12" i="5"/>
  <c r="D13" i="5"/>
  <c r="G123" i="7" l="1"/>
  <c r="F14" i="11"/>
  <c r="G25" i="11"/>
  <c r="H25" i="11"/>
  <c r="F25" i="11"/>
  <c r="F16" i="11"/>
  <c r="F17" i="11"/>
  <c r="F11" i="11"/>
  <c r="F10" i="9"/>
  <c r="F12" i="9"/>
  <c r="F16" i="9"/>
  <c r="F47" i="11"/>
  <c r="F18" i="11"/>
  <c r="F13" i="11"/>
  <c r="F12" i="11"/>
  <c r="G32" i="9"/>
  <c r="H32" i="9"/>
  <c r="G31" i="9"/>
  <c r="H31" i="9"/>
  <c r="G29" i="9"/>
  <c r="H29" i="9"/>
  <c r="G28" i="9"/>
  <c r="H28" i="9"/>
  <c r="G27" i="9"/>
  <c r="H27" i="9"/>
  <c r="G26" i="9"/>
  <c r="H26" i="9"/>
  <c r="G25" i="9"/>
  <c r="H25" i="9"/>
  <c r="F32" i="9"/>
  <c r="F31" i="9"/>
  <c r="F29" i="9"/>
  <c r="F28" i="9"/>
  <c r="F27" i="9"/>
  <c r="F26" i="9"/>
  <c r="F25" i="9"/>
  <c r="F15" i="9"/>
  <c r="F14" i="9"/>
  <c r="F17" i="9"/>
  <c r="G71" i="7" l="1"/>
  <c r="G82" i="7"/>
  <c r="G90" i="7"/>
  <c r="G95" i="7"/>
  <c r="G78" i="7"/>
  <c r="G100" i="7"/>
  <c r="G109" i="7"/>
  <c r="G113" i="7"/>
  <c r="G117" i="7"/>
  <c r="G125" i="7"/>
  <c r="F105" i="7"/>
  <c r="E105" i="7"/>
  <c r="I124" i="7"/>
  <c r="H124" i="7"/>
  <c r="F124" i="7"/>
  <c r="E124" i="7"/>
  <c r="H141" i="7"/>
  <c r="I141" i="7"/>
  <c r="G86" i="7"/>
  <c r="G85" i="7"/>
  <c r="G56" i="7"/>
  <c r="G93" i="7"/>
  <c r="G155" i="7"/>
  <c r="G191" i="7"/>
  <c r="G190" i="7"/>
  <c r="G75" i="7"/>
  <c r="G76" i="7"/>
  <c r="G111" i="7"/>
  <c r="G107" i="7"/>
  <c r="G98" i="7"/>
  <c r="G69" i="7"/>
  <c r="G68" i="7"/>
  <c r="G149" i="7"/>
  <c r="G186" i="7"/>
  <c r="G187" i="7"/>
  <c r="G18" i="7"/>
  <c r="G22" i="7"/>
  <c r="G10" i="7"/>
  <c r="G14" i="7"/>
  <c r="G26" i="7"/>
  <c r="I30" i="7"/>
  <c r="I29" i="7" s="1"/>
  <c r="H30" i="7"/>
  <c r="F29" i="7"/>
  <c r="F27" i="7" s="1"/>
  <c r="H29" i="7"/>
  <c r="H28" i="7" s="1"/>
  <c r="G29" i="7"/>
  <c r="G28" i="7" s="1"/>
  <c r="E29" i="7"/>
  <c r="E28" i="7" s="1"/>
  <c r="G34" i="7"/>
  <c r="G130" i="7"/>
  <c r="G136" i="7"/>
  <c r="G135" i="7"/>
  <c r="G140" i="7"/>
  <c r="G144" i="7"/>
  <c r="G178" i="7"/>
  <c r="G177" i="7"/>
  <c r="G183" i="7"/>
  <c r="G182" i="7"/>
  <c r="G105" i="7" l="1"/>
  <c r="G124" i="7"/>
  <c r="E27" i="7"/>
  <c r="I28" i="7"/>
  <c r="I27" i="7"/>
  <c r="G27" i="7"/>
  <c r="H27" i="7"/>
  <c r="F28" i="7"/>
  <c r="H34" i="8"/>
  <c r="G34" i="8" l="1"/>
  <c r="H13" i="9" l="1"/>
  <c r="G13" i="9"/>
  <c r="H15" i="11"/>
  <c r="G15" i="11"/>
  <c r="I186" i="7"/>
  <c r="H186" i="7"/>
  <c r="H182" i="7"/>
  <c r="I178" i="7"/>
  <c r="I177" i="7"/>
  <c r="H178" i="7"/>
  <c r="H177" i="7"/>
  <c r="I155" i="7"/>
  <c r="H155" i="7"/>
  <c r="I152" i="7"/>
  <c r="H152" i="7"/>
  <c r="I144" i="7"/>
  <c r="H144" i="7"/>
  <c r="I140" i="7"/>
  <c r="H140" i="7"/>
  <c r="I136" i="7"/>
  <c r="H136" i="7"/>
  <c r="I135" i="7"/>
  <c r="H135" i="7"/>
  <c r="I130" i="7"/>
  <c r="H130" i="7"/>
  <c r="I121" i="7"/>
  <c r="H121" i="7"/>
  <c r="I115" i="7"/>
  <c r="H115" i="7"/>
  <c r="I111" i="7"/>
  <c r="H111" i="7"/>
  <c r="I105" i="7"/>
  <c r="I107" i="7"/>
  <c r="H107" i="7"/>
  <c r="I98" i="7"/>
  <c r="H98" i="7"/>
  <c r="I93" i="7"/>
  <c r="H93" i="7"/>
  <c r="I87" i="7"/>
  <c r="H87" i="7"/>
  <c r="I86" i="7"/>
  <c r="H86" i="7"/>
  <c r="I85" i="7"/>
  <c r="H85" i="7"/>
  <c r="I80" i="7"/>
  <c r="H80" i="7"/>
  <c r="I76" i="7"/>
  <c r="H76" i="7"/>
  <c r="H75" i="7"/>
  <c r="I75" i="7" s="1"/>
  <c r="I69" i="7"/>
  <c r="H69" i="7"/>
  <c r="I68" i="7"/>
  <c r="H68" i="7"/>
  <c r="I57" i="7"/>
  <c r="H57" i="7"/>
  <c r="I34" i="7"/>
  <c r="H34" i="7"/>
  <c r="I26" i="7"/>
  <c r="H26" i="7"/>
  <c r="I22" i="7"/>
  <c r="H22" i="7"/>
  <c r="I18" i="7"/>
  <c r="H18" i="7"/>
  <c r="I14" i="7"/>
  <c r="H14" i="7"/>
  <c r="I10" i="7"/>
  <c r="H10" i="7"/>
  <c r="I191" i="7"/>
  <c r="I190" i="7"/>
  <c r="I187" i="7"/>
  <c r="I183" i="7"/>
  <c r="I182" i="7"/>
  <c r="G9" i="8"/>
  <c r="E12" i="9"/>
  <c r="E16" i="9"/>
  <c r="E15" i="9"/>
  <c r="E29" i="9"/>
  <c r="E28" i="9"/>
  <c r="H105" i="7" l="1"/>
  <c r="H187" i="7"/>
  <c r="H190" i="7"/>
  <c r="H183" i="7"/>
  <c r="H191" i="7"/>
  <c r="F122" i="7"/>
  <c r="G122" i="7"/>
  <c r="H122" i="7"/>
  <c r="I122" i="7"/>
  <c r="E122" i="7"/>
  <c r="F120" i="7"/>
  <c r="G120" i="7"/>
  <c r="H120" i="7"/>
  <c r="I120" i="7"/>
  <c r="E120" i="7"/>
  <c r="F118" i="7"/>
  <c r="G118" i="7"/>
  <c r="H118" i="7"/>
  <c r="I118" i="7"/>
  <c r="E118" i="7"/>
  <c r="F116" i="7"/>
  <c r="G116" i="7"/>
  <c r="H116" i="7"/>
  <c r="I116" i="7"/>
  <c r="E116" i="7"/>
  <c r="F114" i="7"/>
  <c r="G114" i="7"/>
  <c r="H114" i="7"/>
  <c r="I114" i="7"/>
  <c r="E114" i="7"/>
  <c r="F112" i="7"/>
  <c r="G112" i="7"/>
  <c r="H112" i="7"/>
  <c r="I112" i="7"/>
  <c r="E112" i="7"/>
  <c r="F110" i="7"/>
  <c r="G110" i="7"/>
  <c r="H110" i="7"/>
  <c r="I110" i="7"/>
  <c r="E110" i="7"/>
  <c r="F108" i="7"/>
  <c r="G108" i="7"/>
  <c r="H108" i="7"/>
  <c r="I108" i="7"/>
  <c r="E108" i="7"/>
  <c r="F106" i="7"/>
  <c r="G106" i="7"/>
  <c r="H106" i="7"/>
  <c r="I106" i="7"/>
  <c r="E106" i="7"/>
  <c r="F103" i="7"/>
  <c r="G103" i="7"/>
  <c r="H103" i="7"/>
  <c r="I103" i="7"/>
  <c r="E103" i="7"/>
  <c r="F101" i="7"/>
  <c r="G101" i="7"/>
  <c r="H101" i="7"/>
  <c r="I101" i="7"/>
  <c r="E101" i="7"/>
  <c r="F99" i="7"/>
  <c r="G99" i="7"/>
  <c r="H99" i="7"/>
  <c r="I99" i="7"/>
  <c r="E99" i="7"/>
  <c r="F97" i="7"/>
  <c r="G97" i="7"/>
  <c r="H97" i="7"/>
  <c r="I97" i="7"/>
  <c r="E97" i="7"/>
  <c r="C12" i="5"/>
  <c r="F10" i="7"/>
  <c r="F93" i="7"/>
  <c r="F59" i="7"/>
  <c r="F56" i="7"/>
  <c r="F136" i="7"/>
  <c r="F135" i="7"/>
  <c r="F178" i="7"/>
  <c r="F177" i="7"/>
  <c r="F160" i="7"/>
  <c r="F159" i="7"/>
  <c r="F51" i="7"/>
  <c r="F22" i="7"/>
  <c r="E32" i="9" s="1"/>
  <c r="F18" i="7"/>
  <c r="E31" i="9" s="1"/>
  <c r="E47" i="11"/>
  <c r="G185" i="7" l="1"/>
  <c r="G184" i="7" s="1"/>
  <c r="G181" i="7"/>
  <c r="G180" i="7" s="1"/>
  <c r="F189" i="7"/>
  <c r="F188" i="7" s="1"/>
  <c r="I189" i="7"/>
  <c r="I188" i="7" s="1"/>
  <c r="H189" i="7"/>
  <c r="H188" i="7" s="1"/>
  <c r="G189" i="7"/>
  <c r="G188" i="7" s="1"/>
  <c r="E189" i="7"/>
  <c r="E188" i="7" s="1"/>
  <c r="I185" i="7"/>
  <c r="I184" i="7" s="1"/>
  <c r="H185" i="7"/>
  <c r="H184" i="7" s="1"/>
  <c r="F185" i="7"/>
  <c r="F184" i="7" s="1"/>
  <c r="E185" i="7"/>
  <c r="E184" i="7" s="1"/>
  <c r="F181" i="7"/>
  <c r="F180" i="7" s="1"/>
  <c r="I181" i="7"/>
  <c r="I180" i="7" s="1"/>
  <c r="H181" i="7"/>
  <c r="H180" i="7" s="1"/>
  <c r="E181" i="7"/>
  <c r="E180" i="7" s="1"/>
  <c r="I148" i="7"/>
  <c r="I147" i="7" s="1"/>
  <c r="H148" i="7"/>
  <c r="H147" i="7" s="1"/>
  <c r="G148" i="7"/>
  <c r="G147" i="7" s="1"/>
  <c r="F148" i="7"/>
  <c r="F147" i="7" s="1"/>
  <c r="E148" i="7"/>
  <c r="E147" i="7" s="1"/>
  <c r="I79" i="7"/>
  <c r="H79" i="7"/>
  <c r="G79" i="7"/>
  <c r="F79" i="7"/>
  <c r="E79" i="7"/>
  <c r="F33" i="7"/>
  <c r="I33" i="7"/>
  <c r="I31" i="7" s="1"/>
  <c r="H33" i="7"/>
  <c r="H32" i="7" s="1"/>
  <c r="G33" i="7"/>
  <c r="G31" i="7" s="1"/>
  <c r="E33" i="7"/>
  <c r="E32" i="7" s="1"/>
  <c r="F25" i="7"/>
  <c r="I25" i="7"/>
  <c r="I24" i="7" s="1"/>
  <c r="H25" i="7"/>
  <c r="H24" i="7" s="1"/>
  <c r="G25" i="7"/>
  <c r="G23" i="7" s="1"/>
  <c r="E25" i="7"/>
  <c r="E24" i="7" s="1"/>
  <c r="I56" i="7" l="1"/>
  <c r="H56" i="7"/>
  <c r="I179" i="7"/>
  <c r="H179" i="7"/>
  <c r="G179" i="7"/>
  <c r="E179" i="7"/>
  <c r="F179" i="7"/>
  <c r="H31" i="7"/>
  <c r="E31" i="7"/>
  <c r="G32" i="7"/>
  <c r="F31" i="7"/>
  <c r="F32" i="7"/>
  <c r="I32" i="7"/>
  <c r="H23" i="7"/>
  <c r="I23" i="7"/>
  <c r="G24" i="7"/>
  <c r="E23" i="7"/>
  <c r="F24" i="7"/>
  <c r="F23" i="7"/>
  <c r="F28" i="8" l="1"/>
  <c r="E62" i="11"/>
  <c r="F62" i="11"/>
  <c r="D62" i="11"/>
  <c r="D47" i="11"/>
  <c r="F29" i="8"/>
  <c r="F145" i="7"/>
  <c r="I145" i="7"/>
  <c r="H145" i="7"/>
  <c r="G145" i="7"/>
  <c r="E145" i="7"/>
  <c r="G96" i="7"/>
  <c r="H96" i="7"/>
  <c r="I96" i="7"/>
  <c r="E96" i="7"/>
  <c r="F46" i="7"/>
  <c r="F45" i="7" s="1"/>
  <c r="G46" i="7"/>
  <c r="G45" i="7" s="1"/>
  <c r="H46" i="7"/>
  <c r="H45" i="7" s="1"/>
  <c r="I46" i="7"/>
  <c r="I45" i="7" s="1"/>
  <c r="E46" i="7"/>
  <c r="E45" i="7" s="1"/>
  <c r="D10" i="11"/>
  <c r="D11" i="5" l="1"/>
  <c r="D10" i="5" s="1"/>
  <c r="F24" i="11"/>
  <c r="F10" i="11"/>
  <c r="F30" i="9"/>
  <c r="F11" i="9"/>
  <c r="H21" i="8"/>
  <c r="G176" i="7"/>
  <c r="G175" i="7" s="1"/>
  <c r="G171" i="7"/>
  <c r="G170" i="7" s="1"/>
  <c r="G169" i="7" s="1"/>
  <c r="G166" i="7"/>
  <c r="G165" i="7" s="1"/>
  <c r="G162" i="7"/>
  <c r="G161" i="7" s="1"/>
  <c r="G158" i="7"/>
  <c r="G157" i="7" s="1"/>
  <c r="G154" i="7"/>
  <c r="G153" i="7" s="1"/>
  <c r="G151" i="7"/>
  <c r="G150" i="7" s="1"/>
  <c r="G143" i="7"/>
  <c r="G142" i="7" s="1"/>
  <c r="G139" i="7"/>
  <c r="G137" i="7" s="1"/>
  <c r="G134" i="7"/>
  <c r="G132" i="7" s="1"/>
  <c r="G129" i="7"/>
  <c r="G127" i="7" s="1"/>
  <c r="G94" i="7"/>
  <c r="G92" i="7"/>
  <c r="G89" i="7"/>
  <c r="G84" i="7"/>
  <c r="G83" i="7" s="1"/>
  <c r="G81" i="7"/>
  <c r="G77" i="7"/>
  <c r="G74" i="7"/>
  <c r="G73" i="7" s="1"/>
  <c r="G70" i="7"/>
  <c r="G67" i="7"/>
  <c r="G66" i="7" s="1"/>
  <c r="G63" i="7"/>
  <c r="G62" i="7" s="1"/>
  <c r="G58" i="7"/>
  <c r="G55" i="7"/>
  <c r="G50" i="7"/>
  <c r="G49" i="7" s="1"/>
  <c r="G43" i="7"/>
  <c r="G42" i="7" s="1"/>
  <c r="G40" i="7"/>
  <c r="G39" i="7" s="1"/>
  <c r="G37" i="7"/>
  <c r="G36" i="7" s="1"/>
  <c r="G21" i="7"/>
  <c r="G19" i="7" s="1"/>
  <c r="G17" i="7"/>
  <c r="G15" i="7" s="1"/>
  <c r="G13" i="7"/>
  <c r="G11" i="7" s="1"/>
  <c r="G9" i="7"/>
  <c r="G7" i="7" s="1"/>
  <c r="H9" i="8" l="1"/>
  <c r="H8" i="8" s="1"/>
  <c r="H14" i="8" s="1"/>
  <c r="H22" i="8" s="1"/>
  <c r="H28" i="8" s="1"/>
  <c r="H29" i="8" s="1"/>
  <c r="G174" i="7"/>
  <c r="G88" i="7"/>
  <c r="G141" i="7"/>
  <c r="G138" i="7"/>
  <c r="G65" i="7"/>
  <c r="G12" i="7"/>
  <c r="G156" i="7"/>
  <c r="G133" i="7"/>
  <c r="G128" i="7"/>
  <c r="G54" i="7"/>
  <c r="G53" i="7" s="1"/>
  <c r="G20" i="7"/>
  <c r="G16" i="7"/>
  <c r="G8" i="7"/>
  <c r="G24" i="11"/>
  <c r="H24" i="11"/>
  <c r="D24" i="11"/>
  <c r="E30" i="9"/>
  <c r="G13" i="8" s="1"/>
  <c r="G30" i="9"/>
  <c r="I13" i="8" s="1"/>
  <c r="H30" i="9"/>
  <c r="J13" i="8" s="1"/>
  <c r="D30" i="9"/>
  <c r="E11" i="9"/>
  <c r="E10" i="9" s="1"/>
  <c r="G11" i="9"/>
  <c r="H11" i="9"/>
  <c r="D11" i="9"/>
  <c r="D10" i="9" s="1"/>
  <c r="I70" i="7"/>
  <c r="H70" i="7"/>
  <c r="H10" i="9" l="1"/>
  <c r="J9" i="8"/>
  <c r="G10" i="9"/>
  <c r="I9" i="8"/>
  <c r="G24" i="9"/>
  <c r="H24" i="9"/>
  <c r="J12" i="8" s="1"/>
  <c r="F24" i="9"/>
  <c r="G126" i="7"/>
  <c r="G35" i="7"/>
  <c r="G6" i="7" s="1"/>
  <c r="G10" i="11"/>
  <c r="H10" i="11"/>
  <c r="D24" i="9"/>
  <c r="D23" i="9" s="1"/>
  <c r="F14" i="7"/>
  <c r="E27" i="9" s="1"/>
  <c r="G4" i="7" l="1"/>
  <c r="H11" i="8"/>
  <c r="F23" i="9"/>
  <c r="H23" i="9"/>
  <c r="G23" i="9"/>
  <c r="I12" i="8"/>
  <c r="F96" i="7"/>
  <c r="B11" i="5" l="1"/>
  <c r="B10" i="5" s="1"/>
  <c r="F143" i="7"/>
  <c r="F142" i="7" s="1"/>
  <c r="H143" i="7"/>
  <c r="H142" i="7" s="1"/>
  <c r="I143" i="7"/>
  <c r="I142" i="7" s="1"/>
  <c r="E143" i="7"/>
  <c r="E142" i="7" s="1"/>
  <c r="F129" i="7"/>
  <c r="H129" i="7"/>
  <c r="I129" i="7"/>
  <c r="E129" i="7"/>
  <c r="E128" i="7" s="1"/>
  <c r="F84" i="7"/>
  <c r="H84" i="7"/>
  <c r="I84" i="7"/>
  <c r="E84" i="7"/>
  <c r="E83" i="7" s="1"/>
  <c r="F81" i="7"/>
  <c r="E34" i="11" s="1"/>
  <c r="H81" i="7"/>
  <c r="I81" i="7"/>
  <c r="E81" i="7"/>
  <c r="F70" i="7"/>
  <c r="E70" i="7"/>
  <c r="E176" i="7"/>
  <c r="E174" i="7" s="1"/>
  <c r="E171" i="7"/>
  <c r="E170" i="7" s="1"/>
  <c r="E169" i="7" s="1"/>
  <c r="E166" i="7"/>
  <c r="E165" i="7" s="1"/>
  <c r="E162" i="7"/>
  <c r="E161" i="7" s="1"/>
  <c r="E158" i="7"/>
  <c r="E157" i="7" s="1"/>
  <c r="E154" i="7"/>
  <c r="E153" i="7" s="1"/>
  <c r="E151" i="7"/>
  <c r="E150" i="7" s="1"/>
  <c r="E139" i="7"/>
  <c r="E138" i="7" s="1"/>
  <c r="E134" i="7"/>
  <c r="E133" i="7" s="1"/>
  <c r="E94" i="7"/>
  <c r="E92" i="7"/>
  <c r="E89" i="7"/>
  <c r="E88" i="7" s="1"/>
  <c r="E77" i="7"/>
  <c r="E74" i="7"/>
  <c r="E73" i="7" s="1"/>
  <c r="E67" i="7"/>
  <c r="E66" i="7" s="1"/>
  <c r="E63" i="7"/>
  <c r="E62" i="7" s="1"/>
  <c r="E58" i="7"/>
  <c r="E55" i="7"/>
  <c r="E50" i="7"/>
  <c r="E49" i="7" s="1"/>
  <c r="E43" i="7"/>
  <c r="E42" i="7" s="1"/>
  <c r="E40" i="7"/>
  <c r="E39" i="7" s="1"/>
  <c r="E37" i="7"/>
  <c r="E36" i="7" s="1"/>
  <c r="E21" i="7"/>
  <c r="E19" i="7" s="1"/>
  <c r="E17" i="7"/>
  <c r="E16" i="7" s="1"/>
  <c r="E13" i="7"/>
  <c r="E11" i="7" s="1"/>
  <c r="E9" i="7"/>
  <c r="E8" i="7" s="1"/>
  <c r="E65" i="7" l="1"/>
  <c r="E175" i="7"/>
  <c r="E20" i="7"/>
  <c r="E141" i="7"/>
  <c r="E54" i="7"/>
  <c r="E53" i="7" s="1"/>
  <c r="E137" i="7"/>
  <c r="E156" i="7"/>
  <c r="E127" i="7"/>
  <c r="E12" i="7"/>
  <c r="E132" i="7"/>
  <c r="E7" i="7"/>
  <c r="E15" i="7"/>
  <c r="E35" i="7" l="1"/>
  <c r="E126" i="7"/>
  <c r="F8" i="8"/>
  <c r="G8" i="8"/>
  <c r="I8" i="8"/>
  <c r="J8" i="8"/>
  <c r="F11" i="8"/>
  <c r="I11" i="8"/>
  <c r="J11" i="8"/>
  <c r="F21" i="8"/>
  <c r="G21" i="8"/>
  <c r="I21" i="8"/>
  <c r="J21" i="8"/>
  <c r="F37" i="8"/>
  <c r="G37" i="8" s="1"/>
  <c r="H37" i="8" l="1"/>
  <c r="I34" i="8" s="1"/>
  <c r="I37" i="8" s="1"/>
  <c r="E6" i="7"/>
  <c r="E4" i="7" s="1"/>
  <c r="F14" i="8"/>
  <c r="F22" i="8" s="1"/>
  <c r="J14" i="8"/>
  <c r="J22" i="8" s="1"/>
  <c r="I14" i="8"/>
  <c r="I22" i="8" s="1"/>
  <c r="I29" i="8" s="1"/>
  <c r="F11" i="5"/>
  <c r="F10" i="5" s="1"/>
  <c r="E11" i="5"/>
  <c r="E10" i="5" s="1"/>
  <c r="C11" i="5"/>
  <c r="C10" i="5" s="1"/>
  <c r="J34" i="8" l="1"/>
  <c r="J37" i="8" s="1"/>
  <c r="J29" i="8"/>
  <c r="I158" i="7"/>
  <c r="I157" i="7" s="1"/>
  <c r="H158" i="7"/>
  <c r="H157" i="7" s="1"/>
  <c r="I176" i="7"/>
  <c r="I175" i="7" s="1"/>
  <c r="H176" i="7"/>
  <c r="H175" i="7" s="1"/>
  <c r="H166" i="7"/>
  <c r="H165" i="7" s="1"/>
  <c r="I166" i="7"/>
  <c r="I165" i="7" s="1"/>
  <c r="H162" i="7"/>
  <c r="H161" i="7" s="1"/>
  <c r="I162" i="7"/>
  <c r="I161" i="7" s="1"/>
  <c r="H154" i="7"/>
  <c r="H153" i="7" s="1"/>
  <c r="I154" i="7"/>
  <c r="I153" i="7" s="1"/>
  <c r="H151" i="7"/>
  <c r="H150" i="7" s="1"/>
  <c r="I151" i="7"/>
  <c r="I150" i="7" s="1"/>
  <c r="H139" i="7"/>
  <c r="H138" i="7" s="1"/>
  <c r="I139" i="7"/>
  <c r="I137" i="7" s="1"/>
  <c r="H128" i="7"/>
  <c r="I127" i="7"/>
  <c r="H89" i="7"/>
  <c r="H88" i="7" s="1"/>
  <c r="I89" i="7"/>
  <c r="I88" i="7" s="1"/>
  <c r="H83" i="7"/>
  <c r="I83" i="7"/>
  <c r="H74" i="7"/>
  <c r="H73" i="7" s="1"/>
  <c r="I74" i="7"/>
  <c r="I73" i="7" s="1"/>
  <c r="H67" i="7"/>
  <c r="H66" i="7" s="1"/>
  <c r="I67" i="7"/>
  <c r="I66" i="7" s="1"/>
  <c r="H94" i="7"/>
  <c r="I94" i="7"/>
  <c r="H92" i="7"/>
  <c r="I92" i="7"/>
  <c r="H77" i="7"/>
  <c r="I77" i="7"/>
  <c r="H63" i="7"/>
  <c r="H62" i="7" s="1"/>
  <c r="I63" i="7"/>
  <c r="I62" i="7" s="1"/>
  <c r="H58" i="7"/>
  <c r="I58" i="7"/>
  <c r="H55" i="7"/>
  <c r="I55" i="7"/>
  <c r="H50" i="7"/>
  <c r="H49" i="7" s="1"/>
  <c r="I50" i="7"/>
  <c r="I49" i="7" s="1"/>
  <c r="H43" i="7"/>
  <c r="H42" i="7" s="1"/>
  <c r="I43" i="7"/>
  <c r="I42" i="7" s="1"/>
  <c r="H40" i="7"/>
  <c r="H39" i="7" s="1"/>
  <c r="I40" i="7"/>
  <c r="I39" i="7" s="1"/>
  <c r="H37" i="7"/>
  <c r="H36" i="7" s="1"/>
  <c r="I37" i="7"/>
  <c r="I36" i="7" s="1"/>
  <c r="H21" i="7"/>
  <c r="H20" i="7" s="1"/>
  <c r="I21" i="7"/>
  <c r="I20" i="7" s="1"/>
  <c r="H17" i="7"/>
  <c r="H16" i="7" s="1"/>
  <c r="I17" i="7"/>
  <c r="I16" i="7" s="1"/>
  <c r="H13" i="7"/>
  <c r="H12" i="7" s="1"/>
  <c r="I13" i="7"/>
  <c r="I12" i="7" s="1"/>
  <c r="H9" i="7"/>
  <c r="H8" i="7" s="1"/>
  <c r="I9" i="7"/>
  <c r="I8" i="7" s="1"/>
  <c r="H171" i="7"/>
  <c r="H170" i="7" s="1"/>
  <c r="H169" i="7" s="1"/>
  <c r="I171" i="7"/>
  <c r="I170" i="7" s="1"/>
  <c r="I169" i="7" s="1"/>
  <c r="I65" i="7" l="1"/>
  <c r="H65" i="7"/>
  <c r="H11" i="7"/>
  <c r="I7" i="7"/>
  <c r="H54" i="7"/>
  <c r="H53" i="7" s="1"/>
  <c r="H35" i="7" s="1"/>
  <c r="H7" i="7"/>
  <c r="I134" i="7"/>
  <c r="I133" i="7" s="1"/>
  <c r="H134" i="7"/>
  <c r="H133" i="7" s="1"/>
  <c r="I174" i="7"/>
  <c r="H174" i="7"/>
  <c r="H156" i="7"/>
  <c r="I156" i="7"/>
  <c r="H137" i="7"/>
  <c r="I138" i="7"/>
  <c r="H127" i="7"/>
  <c r="I128" i="7"/>
  <c r="I54" i="7"/>
  <c r="I53" i="7" s="1"/>
  <c r="I19" i="7"/>
  <c r="H19" i="7"/>
  <c r="I15" i="7"/>
  <c r="H15" i="7"/>
  <c r="I11" i="7"/>
  <c r="F94" i="7"/>
  <c r="E38" i="11" s="1"/>
  <c r="F92" i="7"/>
  <c r="F89" i="7"/>
  <c r="F88" i="7" s="1"/>
  <c r="E36" i="11" s="1"/>
  <c r="F83" i="7"/>
  <c r="F77" i="7"/>
  <c r="E29" i="11" s="1"/>
  <c r="F74" i="7"/>
  <c r="F73" i="7" s="1"/>
  <c r="F67" i="7"/>
  <c r="F66" i="7" s="1"/>
  <c r="F63" i="7"/>
  <c r="F62" i="7" s="1"/>
  <c r="F40" i="7"/>
  <c r="F39" i="7" s="1"/>
  <c r="E27" i="11" s="1"/>
  <c r="F37" i="7"/>
  <c r="F36" i="7" s="1"/>
  <c r="F43" i="7"/>
  <c r="F42" i="7" s="1"/>
  <c r="F50" i="7"/>
  <c r="F49" i="7" s="1"/>
  <c r="E32" i="11" s="1"/>
  <c r="F58" i="7"/>
  <c r="E26" i="9" s="1"/>
  <c r="F55" i="7"/>
  <c r="E25" i="9" s="1"/>
  <c r="F9" i="7"/>
  <c r="F7" i="7" s="1"/>
  <c r="F13" i="7"/>
  <c r="F11" i="7" s="1"/>
  <c r="F17" i="7"/>
  <c r="F15" i="7" s="1"/>
  <c r="F21" i="7"/>
  <c r="F19" i="7" s="1"/>
  <c r="F127" i="7"/>
  <c r="F139" i="7"/>
  <c r="F138" i="7" s="1"/>
  <c r="F154" i="7"/>
  <c r="F153" i="7" s="1"/>
  <c r="F151" i="7"/>
  <c r="F150" i="7" s="1"/>
  <c r="F134" i="7"/>
  <c r="F176" i="7"/>
  <c r="F175" i="7" s="1"/>
  <c r="H6" i="7" l="1"/>
  <c r="E24" i="9"/>
  <c r="E23" i="9" s="1"/>
  <c r="E28" i="11"/>
  <c r="E13" i="11" s="1"/>
  <c r="E26" i="11"/>
  <c r="E12" i="11" s="1"/>
  <c r="E37" i="11"/>
  <c r="E18" i="11" s="1"/>
  <c r="F65" i="7"/>
  <c r="F141" i="7"/>
  <c r="I35" i="7"/>
  <c r="I6" i="7" s="1"/>
  <c r="I132" i="7"/>
  <c r="I126" i="7" s="1"/>
  <c r="H132" i="7"/>
  <c r="H126" i="7" s="1"/>
  <c r="F20" i="7"/>
  <c r="F54" i="7"/>
  <c r="F53" i="7" s="1"/>
  <c r="F137" i="7"/>
  <c r="F132" i="7"/>
  <c r="F133" i="7"/>
  <c r="F8" i="7"/>
  <c r="F174" i="7"/>
  <c r="F128" i="7"/>
  <c r="F12" i="7"/>
  <c r="F16" i="7"/>
  <c r="F166" i="7"/>
  <c r="F165" i="7" s="1"/>
  <c r="E33" i="11" s="1"/>
  <c r="E16" i="11" s="1"/>
  <c r="F162" i="7"/>
  <c r="F161" i="7" s="1"/>
  <c r="G12" i="8" l="1"/>
  <c r="G11" i="8" s="1"/>
  <c r="G14" i="8" s="1"/>
  <c r="G22" i="8" s="1"/>
  <c r="G28" i="8" s="1"/>
  <c r="G29" i="8" s="1"/>
  <c r="F35" i="7"/>
  <c r="F6" i="7" s="1"/>
  <c r="E35" i="11"/>
  <c r="E17" i="11" s="1"/>
  <c r="I4" i="7"/>
  <c r="H4" i="7"/>
  <c r="F158" i="7" l="1"/>
  <c r="F157" i="7" s="1"/>
  <c r="F156" i="7" l="1"/>
  <c r="E25" i="11"/>
  <c r="F171" i="7"/>
  <c r="F170" i="7" s="1"/>
  <c r="F169" i="7" s="1"/>
  <c r="E11" i="11" l="1"/>
  <c r="E10" i="11" s="1"/>
  <c r="E24" i="11"/>
  <c r="F126" i="7"/>
  <c r="F4" i="7" s="1"/>
</calcChain>
</file>

<file path=xl/sharedStrings.xml><?xml version="1.0" encoding="utf-8"?>
<sst xmlns="http://schemas.openxmlformats.org/spreadsheetml/2006/main" count="703" uniqueCount="191">
  <si>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</si>
  <si>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</si>
  <si>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</si>
  <si>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</si>
  <si>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</si>
  <si>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</si>
  <si>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</si>
  <si>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</si>
  <si>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</si>
  <si>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</si>
  <si>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</si>
  <si>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</si>
  <si>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</si>
  <si>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</si>
  <si>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</si>
  <si>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</si>
  <si>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</si>
  <si>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</si>
  <si>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</si>
  <si>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</si>
  <si>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</si>
  <si>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</si>
  <si>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</si>
  <si>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</si>
  <si>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</si>
  <si>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</si>
  <si>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</si>
  <si>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</si>
  <si>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</si>
  <si>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</si>
  <si>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</si>
  <si>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</si>
  <si>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</si>
  <si>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</si>
  <si>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</si>
  <si>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</si>
  <si>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</si>
  <si>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</si>
  <si>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</si>
  <si>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</si>
  <si>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Pomoći</t>
  </si>
  <si>
    <t>Vlastiti prihodi</t>
  </si>
  <si>
    <t>Donacije</t>
  </si>
  <si>
    <t>EUR</t>
  </si>
  <si>
    <t>HZZ PRIPRAVNIK</t>
  </si>
  <si>
    <t>EU</t>
  </si>
  <si>
    <t>Aktivnost 1012-01</t>
  </si>
  <si>
    <t xml:space="preserve">Aktivnost 1012-02 </t>
  </si>
  <si>
    <t>Financijski rashodi škola</t>
  </si>
  <si>
    <t xml:space="preserve">Kapitalni projekt 1012-03 </t>
  </si>
  <si>
    <t>Kapitalni projekt 1012-04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</si>
  <si>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</si>
  <si>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</si>
  <si>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</si>
  <si>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</si>
  <si>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</si>
  <si>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</si>
  <si>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</si>
  <si>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</si>
  <si>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</si>
  <si>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</si>
  <si>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</si>
  <si>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</si>
  <si>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</si>
  <si>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</si>
  <si>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Aktivnost 1013-13</t>
  </si>
  <si>
    <t>Aktivnost 1013-14</t>
  </si>
  <si>
    <t>Aktivnost 1013-16</t>
  </si>
  <si>
    <t>Potpora stručnim službama osnovnih škola - logoped</t>
  </si>
  <si>
    <t>Aktivnost 1013-18</t>
  </si>
  <si>
    <t>Centar DaR</t>
  </si>
  <si>
    <t>Izvor financiranja 57</t>
  </si>
  <si>
    <t>Izvor financiranja 11</t>
  </si>
  <si>
    <t>Izvor financiranja 31</t>
  </si>
  <si>
    <t xml:space="preserve">Vlastiti prihodi </t>
  </si>
  <si>
    <t>Izvor financiranja 41</t>
  </si>
  <si>
    <t>Izvor financiranja 6103</t>
  </si>
  <si>
    <t>Vlastiti izvori</t>
  </si>
  <si>
    <t>Višak prihoda poslovanja</t>
  </si>
  <si>
    <t>Vlastiti prihodi - višak</t>
  </si>
  <si>
    <t>VIŠAK KORIŠTEN ZA POKRIĆE RASHODA</t>
  </si>
  <si>
    <t>Prihodi za posebne namjene - višak</t>
  </si>
  <si>
    <t>Pomoći - višak</t>
  </si>
  <si>
    <t>HZZ PRIPRAVNIK - višak</t>
  </si>
  <si>
    <t>Donacije - višak</t>
  </si>
  <si>
    <t>Pomoći MZO rashodi za zaposlene</t>
  </si>
  <si>
    <t>Izvor financiranja 92530</t>
  </si>
  <si>
    <t>Pomoćnici u nastavi - Škola puna mogućnosti 6</t>
  </si>
  <si>
    <t>Izvor financiranja 5402</t>
  </si>
  <si>
    <t>Financiranje nabave drugih obrazovnih materijala - radne bilježnice</t>
  </si>
  <si>
    <t>Izvanškolske aktivnosti, UZ Maraška, Novigradsko proljeće</t>
  </si>
  <si>
    <t>Materijalni rashodi - prijevoz</t>
  </si>
  <si>
    <t>31-COP</t>
  </si>
  <si>
    <t>31-MENTORSTVA</t>
  </si>
  <si>
    <t>32-PRIJEVOZ DJELATNIKA COP</t>
  </si>
  <si>
    <t>32-NAKNADA INVALIDI</t>
  </si>
  <si>
    <t>32-ISLAMSKI VJERONAUK</t>
  </si>
  <si>
    <t>Prihodi za posebne namjene - školska kuhinja</t>
  </si>
  <si>
    <t>Izvor financiranja 9231</t>
  </si>
  <si>
    <t>Izvor financiranja 9241</t>
  </si>
  <si>
    <t>Izvor financiranja 9257</t>
  </si>
  <si>
    <t>Rashodi za zaposlene (pripravnica razlika za osnovicu)</t>
  </si>
  <si>
    <t>Rashodi za zaposlene (dar u naravi, pripravnica razlika za osnovicu)</t>
  </si>
  <si>
    <t>Rashodi za zaposlene voditelje ŠSD</t>
  </si>
  <si>
    <t>Izvor financiranja 926103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</si>
  <si>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</si>
  <si>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</si>
  <si>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</si>
  <si>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 xml:space="preserve">PROGRAM 1012 </t>
  </si>
  <si>
    <t>Osnovnoškolsko obrazovanje</t>
  </si>
  <si>
    <t>PRIJENOS VIŠKA / MANJKA U SLJEDEĆE RAZDOBLJE</t>
  </si>
  <si>
    <t>VIŠAK / MANJAK TEKUĆE GODINE</t>
  </si>
  <si>
    <t>PRIJENOS VIŠKA / MANJKA IZ PRETHODNE(IH) GODINE</t>
  </si>
  <si>
    <t>Projekcija proračuna
za 2026.</t>
  </si>
  <si>
    <t>D) VIŠEGODIŠNJI PLAN URAVNOTEŽENJA</t>
  </si>
  <si>
    <t>VIŠAK / MANJAK + NETO FINANCIRANJE + PRIJENOS VIŠKA / MANJKA IZ PRETHODNE(IH) GODINE - PRIJENOS VIŠKA / MANJKA U SLJEDEĆE RAZDOBLJE</t>
  </si>
  <si>
    <t xml:space="preserve">C) PRENESENI VIŠAK ILI PRENESENI MANJAK </t>
  </si>
  <si>
    <t>5 IZDACI ZA FINANCIJSKU IMOVINU I OTPLATE ZAJMOVA</t>
  </si>
  <si>
    <t>8 PRIMICI OD FINANCIJSKE IMOVINE I ZADUŽIVANJA</t>
  </si>
  <si>
    <t>4 RASHODI ZA NABAVU NEFINANCIJSKE IMOVINE</t>
  </si>
  <si>
    <t>3 RASHODI  POSLOVANJA</t>
  </si>
  <si>
    <t>7 PRIHODI OD PRODAJE NEFINANCIJSKE IMOVINE</t>
  </si>
  <si>
    <t>6 PRIHODI POSLOVANJA</t>
  </si>
  <si>
    <t>PRIHODI POSLOVANJA PREMA EKONOMSKOJ KLASIFIKACIJI</t>
  </si>
  <si>
    <t>Plan za 2024.</t>
  </si>
  <si>
    <t>Projekcija 
za 2026.</t>
  </si>
  <si>
    <t>RASHODI POSLOVANJA PREMA EKONOMSKOJ KLASIFIKACIJI</t>
  </si>
  <si>
    <t>Brojčana oznaka i naziv</t>
  </si>
  <si>
    <t>Izvor financiranja 925401</t>
  </si>
  <si>
    <t>Ostale tekuće donacije u naravi</t>
  </si>
  <si>
    <t>Projekti - višak</t>
  </si>
  <si>
    <t>Manjak prihoda poslovanja</t>
  </si>
  <si>
    <t>Materijalni rashodi - prijevoz + sl. putovanja</t>
  </si>
  <si>
    <t>A. RAČUN PRIHODA I RASHODA</t>
  </si>
  <si>
    <t>PRIHODI POSLOVANJA  PREMA IZVORIMA FINANCIRANJA</t>
  </si>
  <si>
    <t>11 Opći prihodi i primici</t>
  </si>
  <si>
    <t>31 Vlastiti prihodi</t>
  </si>
  <si>
    <t>41 Prihodi za posebne namjene</t>
  </si>
  <si>
    <t>5402 EU</t>
  </si>
  <si>
    <t>57 Pomoći</t>
  </si>
  <si>
    <t>6103 Donacije</t>
  </si>
  <si>
    <t>RASHODI POSLOVANJA  PREMA IZVORIMA FINANCIRANJA</t>
  </si>
  <si>
    <t>9231 Vlastiti prihodi - višak</t>
  </si>
  <si>
    <t>9241 Prihodi za posebne namjene - višak</t>
  </si>
  <si>
    <t>92530 HZZ PRIPRAVNIK - višak</t>
  </si>
  <si>
    <t>925401 Projekti - višak</t>
  </si>
  <si>
    <t>926103 Donacije - višak</t>
  </si>
  <si>
    <t xml:space="preserve">                                   MANJAK POKRIVEN TEKUĆIM PRIHODIMA</t>
  </si>
  <si>
    <t>Izvršenje 2023.*</t>
  </si>
  <si>
    <t>Plan 2024.</t>
  </si>
  <si>
    <t>Proračun za 2025.</t>
  </si>
  <si>
    <t>Projekcija proračuna
za 2027.</t>
  </si>
  <si>
    <t>FINANCIJSKI PLAN OSNOVNE ŠKOLE BARTULA KAŠIĆA
ZA 2025. I PROJEKCIJA ZA 2026. I 2027. GODINU</t>
  </si>
  <si>
    <t>Izvršenje 2023.</t>
  </si>
  <si>
    <t>Plan za 2025.</t>
  </si>
  <si>
    <t>Projekcija 
za 2027.</t>
  </si>
  <si>
    <t>53 HZZ</t>
  </si>
  <si>
    <t>9257 Pomoći - višak</t>
  </si>
  <si>
    <t>Izvor financiranja 53</t>
  </si>
  <si>
    <t>57 Pomoći Shema</t>
  </si>
  <si>
    <t>5402 EU Shema</t>
  </si>
  <si>
    <t xml:space="preserve">9231 Vlastiti prihodi </t>
  </si>
  <si>
    <t>9241 Prihodi za posebne namjene</t>
  </si>
  <si>
    <t>92530 HZZ PRIPRAVNIK</t>
  </si>
  <si>
    <t>925401 PROJEKTI</t>
  </si>
  <si>
    <t>9257 Pomoći</t>
  </si>
  <si>
    <t>926103 Donacije</t>
  </si>
  <si>
    <t>51 Tekuće pomoći</t>
  </si>
  <si>
    <t xml:space="preserve"> Materijalni rashodi škola - STANDARD</t>
  </si>
  <si>
    <t>Financijski rashodi škola - STANDARD</t>
  </si>
  <si>
    <t>Izvor financiranja 51</t>
  </si>
  <si>
    <t>Opremanje škola- STANDARD</t>
  </si>
  <si>
    <t>Tekuće pomoći</t>
  </si>
  <si>
    <t>Rashodi za dodatna ulaganja na školama- STANDARD</t>
  </si>
  <si>
    <t>Aktivnost 1012-05</t>
  </si>
  <si>
    <t>Rashodi za zaposlene i materijalni rashodi škola - IZVANSTANDARD</t>
  </si>
  <si>
    <t>Kapitalni projekt 1012-08</t>
  </si>
  <si>
    <t>Rashodi za dodatna ulaganja na školama- IZVANSTANDARD</t>
  </si>
  <si>
    <t>Izvor financiranja 54</t>
  </si>
  <si>
    <t>Fin iz sredstava EU</t>
  </si>
  <si>
    <t>Prehrana učenika u osnovnim školama Šk. shema</t>
  </si>
  <si>
    <t>Aktivnost 1013-23</t>
  </si>
  <si>
    <t>Pomoćnici u nastavi - Škola puna mogućnosti 7</t>
  </si>
  <si>
    <t>Izvor financiranja 5401</t>
  </si>
  <si>
    <t>Projekt SHORE</t>
  </si>
  <si>
    <t>Materijalni rashodi - prijevoz i ostalo</t>
  </si>
  <si>
    <t>Kapitalni projekt 1012-07</t>
  </si>
  <si>
    <t>Opremanje škola- IZVANSTANDARD</t>
  </si>
  <si>
    <t xml:space="preserve">51 Pomoći </t>
  </si>
  <si>
    <t>5402 EU Projekti</t>
  </si>
  <si>
    <t xml:space="preserve">Kapitalni projekt 1012-07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</si>
</sst>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theme="8" tint="-0.249977111117893"/>
      <name val="Calibri"/>
      <family val="2"/>
      <charset val="238"/>
      <scheme val="minor"/>
    </font>
    <font>
      <sz val="12"/>
      <color theme="8" tint="-0.249977111117893"/>
      <name val="Arial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0"/>
      <color theme="4" tint="-0.499984740745262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0"/>
      <name val="Arial"/>
      <family val="2"/>
      <charset val="238"/>
    </font>
    <font>
      <sz val="12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 wrapText="1"/>
    </xf>
    <xf numFmtId="0" fontId="8" fillId="5" borderId="3" xfId="0" applyNumberFormat="1" applyFont="1" applyFill="1" applyBorder="1" applyAlignment="1" applyProtection="1">
      <alignment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 wrapText="1"/>
    </xf>
    <xf numFmtId="4" fontId="5" fillId="9" borderId="3" xfId="0" applyNumberFormat="1" applyFont="1" applyFill="1" applyBorder="1" applyAlignment="1">
      <alignment horizontal="right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4" fontId="18" fillId="2" borderId="3" xfId="0" applyNumberFormat="1" applyFont="1" applyFill="1" applyBorder="1" applyAlignment="1">
      <alignment horizontal="right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4" fontId="19" fillId="2" borderId="3" xfId="0" applyNumberFormat="1" applyFont="1" applyFill="1" applyBorder="1" applyAlignment="1">
      <alignment horizontal="right"/>
    </xf>
    <xf numFmtId="0" fontId="21" fillId="0" borderId="0" xfId="0" applyFont="1"/>
    <xf numFmtId="4" fontId="22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0" fillId="2" borderId="4" xfId="0" applyNumberFormat="1" applyFont="1" applyFill="1" applyBorder="1" applyAlignment="1" applyProtection="1">
      <alignment horizontal="left" vertical="center" wrapText="1"/>
    </xf>
    <xf numFmtId="4" fontId="18" fillId="2" borderId="3" xfId="0" applyNumberFormat="1" applyFont="1" applyFill="1" applyBorder="1" applyAlignment="1" applyProtection="1">
      <alignment horizontal="right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164" fontId="17" fillId="2" borderId="3" xfId="0" applyNumberFormat="1" applyFont="1" applyFill="1" applyBorder="1" applyAlignment="1">
      <alignment horizontal="right"/>
    </xf>
    <xf numFmtId="164" fontId="25" fillId="2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 wrapText="1"/>
    </xf>
    <xf numFmtId="0" fontId="10" fillId="0" borderId="1" xfId="0" quotePrefix="1" applyFont="1" applyBorder="1" applyAlignment="1">
      <alignment horizontal="left" wrapText="1"/>
    </xf>
    <xf numFmtId="0" fontId="8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quotePrefix="1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30" fillId="0" borderId="3" xfId="0" applyNumberFormat="1" applyFont="1" applyFill="1" applyBorder="1" applyAlignment="1">
      <alignment horizontal="right"/>
    </xf>
    <xf numFmtId="164" fontId="9" fillId="2" borderId="3" xfId="0" quotePrefix="1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32" fillId="0" borderId="0" xfId="0" applyFont="1"/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17" fillId="0" borderId="3" xfId="0" applyNumberFormat="1" applyFont="1" applyFill="1" applyBorder="1" applyAlignment="1">
      <alignment horizontal="right"/>
    </xf>
    <xf numFmtId="0" fontId="33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0" xfId="0" applyFont="1"/>
    <xf numFmtId="4" fontId="6" fillId="8" borderId="3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4" fontId="34" fillId="2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0" fillId="7" borderId="2" xfId="0" applyNumberFormat="1" applyFont="1" applyFill="1" applyBorder="1" applyAlignment="1" applyProtection="1">
      <alignment horizontal="center" vertical="center" wrapText="1"/>
    </xf>
    <xf numFmtId="0" fontId="10" fillId="7" borderId="4" xfId="0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>
      <alignment horizontal="left" vertical="center" shrinkToFit="1"/>
    </xf>
    <xf numFmtId="0" fontId="9" fillId="2" borderId="2" xfId="0" quotePrefix="1" applyFont="1" applyFill="1" applyBorder="1" applyAlignment="1">
      <alignment horizontal="left" vertical="center" shrinkToFit="1"/>
    </xf>
    <xf numFmtId="0" fontId="9" fillId="2" borderId="4" xfId="0" quotePrefix="1" applyFont="1" applyFill="1" applyBorder="1" applyAlignment="1">
      <alignment horizontal="left" vertical="center" shrinkToFit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2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M18" sqref="M1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7.45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45" t="s">
        <v>20</v>
      </c>
      <c r="B3" s="145"/>
      <c r="C3" s="145"/>
      <c r="D3" s="145"/>
      <c r="E3" s="145"/>
      <c r="F3" s="145"/>
      <c r="G3" s="145"/>
      <c r="H3" s="145"/>
      <c r="I3" s="158"/>
      <c r="J3" s="158"/>
    </row>
    <row r="4" spans="1:10" ht="17.45" x14ac:dyDescent="0.3">
      <c r="A4" s="18"/>
      <c r="B4" s="18"/>
      <c r="C4" s="18"/>
      <c r="D4" s="18"/>
      <c r="E4" s="18"/>
      <c r="F4" s="18"/>
      <c r="G4" s="18"/>
      <c r="H4" s="18"/>
      <c r="I4" s="5"/>
      <c r="J4" s="5"/>
    </row>
    <row r="5" spans="1:10" ht="15.75" x14ac:dyDescent="0.25">
      <c r="A5" s="145" t="s">
        <v>24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0" ht="17.45" x14ac:dyDescent="0.3">
      <c r="A6" s="1"/>
      <c r="B6" s="2"/>
      <c r="C6" s="2"/>
      <c r="D6" s="2"/>
      <c r="E6" s="6"/>
      <c r="F6" s="7"/>
      <c r="G6" s="7"/>
      <c r="H6" s="7"/>
      <c r="I6" s="7"/>
      <c r="J6" s="24" t="s">
        <v>43</v>
      </c>
    </row>
    <row r="7" spans="1:10" ht="25.5" x14ac:dyDescent="0.25">
      <c r="A7" s="20"/>
      <c r="B7" s="21"/>
      <c r="C7" s="21"/>
      <c r="D7" s="22"/>
      <c r="E7" s="23"/>
      <c r="F7" s="3" t="s">
        <v>148</v>
      </c>
      <c r="G7" s="3" t="s">
        <v>149</v>
      </c>
      <c r="H7" s="3" t="s">
        <v>150</v>
      </c>
      <c r="I7" s="3" t="s">
        <v>113</v>
      </c>
      <c r="J7" s="3" t="s">
        <v>151</v>
      </c>
    </row>
    <row r="8" spans="1:10" ht="14.45" x14ac:dyDescent="0.3">
      <c r="A8" s="150" t="s">
        <v>0</v>
      </c>
      <c r="B8" s="144"/>
      <c r="C8" s="144"/>
      <c r="D8" s="144"/>
      <c r="E8" s="159"/>
      <c r="F8" s="97">
        <f>F9+F10</f>
        <v>3375169.61</v>
      </c>
      <c r="G8" s="97">
        <f>G9+G10</f>
        <v>4364771.16</v>
      </c>
      <c r="H8" s="97">
        <f>H9+H10</f>
        <v>5120808.8600000003</v>
      </c>
      <c r="I8" s="97">
        <f>I9+I10</f>
        <v>5073105.46</v>
      </c>
      <c r="J8" s="97">
        <f>J9+J10</f>
        <v>5073105.46</v>
      </c>
    </row>
    <row r="9" spans="1:10" ht="14.45" x14ac:dyDescent="0.3">
      <c r="A9" s="160" t="s">
        <v>122</v>
      </c>
      <c r="B9" s="161"/>
      <c r="C9" s="161"/>
      <c r="D9" s="161"/>
      <c r="E9" s="157"/>
      <c r="F9" s="96">
        <v>3375169.61</v>
      </c>
      <c r="G9" s="96">
        <f>' Račun prihoda i rashoda po eko'!E11</f>
        <v>4364771.16</v>
      </c>
      <c r="H9" s="96">
        <f>' Račun prihoda i rashoda po eko'!F11</f>
        <v>5120808.8600000003</v>
      </c>
      <c r="I9" s="96">
        <f>' Račun prihoda i rashoda po eko'!G11</f>
        <v>5073105.46</v>
      </c>
      <c r="J9" s="96">
        <f>' Račun prihoda i rashoda po eko'!H11</f>
        <v>5073105.46</v>
      </c>
    </row>
    <row r="10" spans="1:10" ht="14.45" x14ac:dyDescent="0.3">
      <c r="A10" s="162" t="s">
        <v>121</v>
      </c>
      <c r="B10" s="157"/>
      <c r="C10" s="157"/>
      <c r="D10" s="157"/>
      <c r="E10" s="157"/>
      <c r="F10" s="96"/>
      <c r="G10" s="96"/>
      <c r="H10" s="96"/>
      <c r="I10" s="96"/>
      <c r="J10" s="96"/>
    </row>
    <row r="11" spans="1:10" ht="14.45" x14ac:dyDescent="0.3">
      <c r="A11" s="25" t="s">
        <v>1</v>
      </c>
      <c r="B11" s="72"/>
      <c r="C11" s="72"/>
      <c r="D11" s="72"/>
      <c r="E11" s="72"/>
      <c r="F11" s="97">
        <f>F12+F13</f>
        <v>3382423.5700000003</v>
      </c>
      <c r="G11" s="97">
        <f>G12+G13</f>
        <v>4378916.34</v>
      </c>
      <c r="H11" s="97">
        <f>H12+H13</f>
        <v>5095713.87</v>
      </c>
      <c r="I11" s="97">
        <f>I12+I13</f>
        <v>5073105.4600000009</v>
      </c>
      <c r="J11" s="97">
        <f>J12+J13</f>
        <v>5073105.4600000009</v>
      </c>
    </row>
    <row r="12" spans="1:10" ht="14.45" x14ac:dyDescent="0.3">
      <c r="A12" s="163" t="s">
        <v>120</v>
      </c>
      <c r="B12" s="161"/>
      <c r="C12" s="161"/>
      <c r="D12" s="161"/>
      <c r="E12" s="161"/>
      <c r="F12" s="96">
        <v>3303873.47</v>
      </c>
      <c r="G12" s="96">
        <f>' Račun prihoda i rashoda po eko'!E24</f>
        <v>4237728.28</v>
      </c>
      <c r="H12" s="96">
        <v>5095713.87</v>
      </c>
      <c r="I12" s="96">
        <f>' Račun prihoda i rashoda po eko'!G24</f>
        <v>4885328.2300000004</v>
      </c>
      <c r="J12" s="96">
        <f>' Račun prihoda i rashoda po eko'!H24</f>
        <v>4885328.2300000004</v>
      </c>
    </row>
    <row r="13" spans="1:10" ht="14.45" x14ac:dyDescent="0.3">
      <c r="A13" s="156" t="s">
        <v>119</v>
      </c>
      <c r="B13" s="157"/>
      <c r="C13" s="157"/>
      <c r="D13" s="157"/>
      <c r="E13" s="157"/>
      <c r="F13" s="99">
        <v>78550.100000000006</v>
      </c>
      <c r="G13" s="99">
        <f>' Račun prihoda i rashoda po eko'!E30</f>
        <v>141188.06</v>
      </c>
      <c r="H13" s="99"/>
      <c r="I13" s="99">
        <f>' Račun prihoda i rashoda po eko'!G30</f>
        <v>187777.22999999998</v>
      </c>
      <c r="J13" s="99">
        <f>' Račun prihoda i rashoda po eko'!H30</f>
        <v>187777.22999999998</v>
      </c>
    </row>
    <row r="14" spans="1:10" x14ac:dyDescent="0.25">
      <c r="A14" s="143" t="s">
        <v>2</v>
      </c>
      <c r="B14" s="144"/>
      <c r="C14" s="144"/>
      <c r="D14" s="144"/>
      <c r="E14" s="144"/>
      <c r="F14" s="97">
        <f>F8-F11</f>
        <v>-7253.9600000004284</v>
      </c>
      <c r="G14" s="97">
        <f>G8-G11</f>
        <v>-14145.179999999702</v>
      </c>
      <c r="H14" s="97">
        <f>H8-H11</f>
        <v>25094.990000000224</v>
      </c>
      <c r="I14" s="97">
        <f>I8-I11</f>
        <v>0</v>
      </c>
      <c r="J14" s="97">
        <f>J8-J11</f>
        <v>0</v>
      </c>
    </row>
    <row r="15" spans="1:10" ht="17.45" x14ac:dyDescent="0.3">
      <c r="A15" s="18"/>
      <c r="B15" s="16"/>
      <c r="C15" s="16"/>
      <c r="D15" s="16"/>
      <c r="E15" s="16"/>
      <c r="F15" s="16"/>
      <c r="G15" s="17"/>
      <c r="H15" s="17"/>
      <c r="I15" s="17"/>
      <c r="J15" s="17"/>
    </row>
    <row r="16" spans="1:10" ht="15.75" x14ac:dyDescent="0.25">
      <c r="A16" s="145" t="s">
        <v>25</v>
      </c>
      <c r="B16" s="146"/>
      <c r="C16" s="146"/>
      <c r="D16" s="146"/>
      <c r="E16" s="146"/>
      <c r="F16" s="146"/>
      <c r="G16" s="146"/>
      <c r="H16" s="146"/>
      <c r="I16" s="146"/>
      <c r="J16" s="146"/>
    </row>
    <row r="17" spans="1:10" ht="17.45" x14ac:dyDescent="0.3">
      <c r="A17" s="18"/>
      <c r="B17" s="16"/>
      <c r="C17" s="16"/>
      <c r="D17" s="16"/>
      <c r="E17" s="16"/>
      <c r="F17" s="16"/>
      <c r="G17" s="17"/>
      <c r="H17" s="17"/>
      <c r="I17" s="17"/>
      <c r="J17" s="17"/>
    </row>
    <row r="18" spans="1:10" ht="25.5" x14ac:dyDescent="0.25">
      <c r="A18" s="20"/>
      <c r="B18" s="21"/>
      <c r="C18" s="21"/>
      <c r="D18" s="22"/>
      <c r="E18" s="23"/>
      <c r="F18" s="3" t="s">
        <v>148</v>
      </c>
      <c r="G18" s="3" t="s">
        <v>149</v>
      </c>
      <c r="H18" s="3" t="s">
        <v>150</v>
      </c>
      <c r="I18" s="3" t="s">
        <v>113</v>
      </c>
      <c r="J18" s="3" t="s">
        <v>151</v>
      </c>
    </row>
    <row r="19" spans="1:10" x14ac:dyDescent="0.25">
      <c r="A19" s="156" t="s">
        <v>118</v>
      </c>
      <c r="B19" s="157"/>
      <c r="C19" s="157"/>
      <c r="D19" s="157"/>
      <c r="E19" s="157"/>
      <c r="F19" s="99"/>
      <c r="G19" s="99"/>
      <c r="H19" s="99"/>
      <c r="I19" s="99"/>
      <c r="J19" s="98"/>
    </row>
    <row r="20" spans="1:10" ht="14.45" x14ac:dyDescent="0.3">
      <c r="A20" s="156" t="s">
        <v>117</v>
      </c>
      <c r="B20" s="157"/>
      <c r="C20" s="157"/>
      <c r="D20" s="157"/>
      <c r="E20" s="157"/>
      <c r="F20" s="99"/>
      <c r="G20" s="99"/>
      <c r="H20" s="99"/>
      <c r="I20" s="99"/>
      <c r="J20" s="98"/>
    </row>
    <row r="21" spans="1:10" ht="14.45" x14ac:dyDescent="0.3">
      <c r="A21" s="143" t="s">
        <v>4</v>
      </c>
      <c r="B21" s="144"/>
      <c r="C21" s="144"/>
      <c r="D21" s="144"/>
      <c r="E21" s="144"/>
      <c r="F21" s="97">
        <f>F19-F20</f>
        <v>0</v>
      </c>
      <c r="G21" s="97">
        <f>G19-G20</f>
        <v>0</v>
      </c>
      <c r="H21" s="97">
        <f>H19-H20</f>
        <v>0</v>
      </c>
      <c r="I21" s="97">
        <f>I19-I20</f>
        <v>0</v>
      </c>
      <c r="J21" s="97">
        <f>J19-J20</f>
        <v>0</v>
      </c>
    </row>
    <row r="22" spans="1:10" x14ac:dyDescent="0.25">
      <c r="A22" s="143" t="s">
        <v>5</v>
      </c>
      <c r="B22" s="144"/>
      <c r="C22" s="144"/>
      <c r="D22" s="144"/>
      <c r="E22" s="144"/>
      <c r="F22" s="97">
        <f>F14+F21</f>
        <v>-7253.9600000004284</v>
      </c>
      <c r="G22" s="97">
        <f>G14+G21</f>
        <v>-14145.179999999702</v>
      </c>
      <c r="H22" s="97">
        <f>H14+H21</f>
        <v>25094.990000000224</v>
      </c>
      <c r="I22" s="97">
        <f>I14+I21</f>
        <v>0</v>
      </c>
      <c r="J22" s="97">
        <f>J14+J21</f>
        <v>0</v>
      </c>
    </row>
    <row r="23" spans="1:10" ht="18" x14ac:dyDescent="0.25">
      <c r="A23" s="15"/>
      <c r="B23" s="16"/>
      <c r="C23" s="16"/>
      <c r="D23" s="16"/>
      <c r="E23" s="16"/>
      <c r="F23" s="16"/>
      <c r="G23" s="17"/>
      <c r="H23" s="17"/>
      <c r="I23" s="17"/>
      <c r="J23" s="17"/>
    </row>
    <row r="24" spans="1:10" ht="15.75" x14ac:dyDescent="0.25">
      <c r="A24" s="145" t="s">
        <v>116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ht="15.75" x14ac:dyDescent="0.25">
      <c r="A25" s="70"/>
      <c r="B25" s="71"/>
      <c r="C25" s="71"/>
      <c r="D25" s="71"/>
      <c r="E25" s="71"/>
      <c r="F25" s="71"/>
      <c r="G25" s="71"/>
      <c r="H25" s="117"/>
      <c r="I25" s="71"/>
      <c r="J25" s="71"/>
    </row>
    <row r="26" spans="1:10" ht="25.5" x14ac:dyDescent="0.25">
      <c r="A26" s="20"/>
      <c r="B26" s="21"/>
      <c r="C26" s="21"/>
      <c r="D26" s="22"/>
      <c r="E26" s="23"/>
      <c r="F26" s="3" t="s">
        <v>148</v>
      </c>
      <c r="G26" s="3" t="s">
        <v>149</v>
      </c>
      <c r="H26" s="3" t="s">
        <v>150</v>
      </c>
      <c r="I26" s="3" t="s">
        <v>113</v>
      </c>
      <c r="J26" s="3" t="s">
        <v>151</v>
      </c>
    </row>
    <row r="27" spans="1:10" ht="15" customHeight="1" x14ac:dyDescent="0.25">
      <c r="A27" s="147" t="s">
        <v>112</v>
      </c>
      <c r="B27" s="148"/>
      <c r="C27" s="148"/>
      <c r="D27" s="148"/>
      <c r="E27" s="149"/>
      <c r="F27" s="100">
        <v>21399.14</v>
      </c>
      <c r="G27" s="100">
        <v>14145.18</v>
      </c>
      <c r="H27" s="100">
        <v>-25094.99</v>
      </c>
      <c r="I27" s="100"/>
      <c r="J27" s="101"/>
    </row>
    <row r="28" spans="1:10" ht="15" customHeight="1" x14ac:dyDescent="0.25">
      <c r="A28" s="143" t="s">
        <v>110</v>
      </c>
      <c r="B28" s="144"/>
      <c r="C28" s="144"/>
      <c r="D28" s="144"/>
      <c r="E28" s="144"/>
      <c r="F28" s="102">
        <f>F22+F27</f>
        <v>14145.179999999571</v>
      </c>
      <c r="G28" s="102">
        <f>G22+G27</f>
        <v>2.9831426218152046E-10</v>
      </c>
      <c r="H28" s="102">
        <f>H22+H27</f>
        <v>2.2191670723259449E-10</v>
      </c>
      <c r="I28" s="102"/>
      <c r="J28" s="103"/>
    </row>
    <row r="29" spans="1:10" ht="45" customHeight="1" x14ac:dyDescent="0.25">
      <c r="A29" s="150" t="s">
        <v>115</v>
      </c>
      <c r="B29" s="151"/>
      <c r="C29" s="151"/>
      <c r="D29" s="151"/>
      <c r="E29" s="152"/>
      <c r="F29" s="102">
        <f>F14+F21+F27-F28</f>
        <v>0</v>
      </c>
      <c r="G29" s="102">
        <f>G14+G21+G27-G28</f>
        <v>0</v>
      </c>
      <c r="H29" s="102">
        <f>H14+H21+H27-H28</f>
        <v>0</v>
      </c>
      <c r="I29" s="102">
        <f>I14+I21+I27-I28</f>
        <v>0</v>
      </c>
      <c r="J29" s="103">
        <f>J14+J21+J27-J28</f>
        <v>0</v>
      </c>
    </row>
    <row r="30" spans="1:10" ht="15.75" x14ac:dyDescent="0.25">
      <c r="A30" s="81"/>
      <c r="B30" s="80"/>
      <c r="C30" s="80"/>
      <c r="D30" s="80"/>
      <c r="E30" s="80"/>
      <c r="F30" s="80"/>
      <c r="G30" s="80"/>
      <c r="H30" s="80"/>
      <c r="I30" s="80"/>
      <c r="J30" s="80"/>
    </row>
    <row r="31" spans="1:10" ht="15.75" x14ac:dyDescent="0.25">
      <c r="A31" s="153" t="s">
        <v>114</v>
      </c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ht="18" x14ac:dyDescent="0.25">
      <c r="A32" s="79"/>
      <c r="B32" s="78"/>
      <c r="C32" s="78"/>
      <c r="D32" s="78"/>
      <c r="E32" s="78"/>
      <c r="F32" s="78"/>
      <c r="G32" s="77"/>
      <c r="H32" s="77"/>
      <c r="I32" s="77"/>
      <c r="J32" s="77"/>
    </row>
    <row r="33" spans="1:10" ht="25.5" x14ac:dyDescent="0.25">
      <c r="A33" s="76"/>
      <c r="B33" s="75"/>
      <c r="C33" s="75"/>
      <c r="D33" s="74"/>
      <c r="E33" s="73"/>
      <c r="F33" s="3" t="s">
        <v>148</v>
      </c>
      <c r="G33" s="3" t="s">
        <v>149</v>
      </c>
      <c r="H33" s="3" t="s">
        <v>150</v>
      </c>
      <c r="I33" s="3" t="s">
        <v>113</v>
      </c>
      <c r="J33" s="3" t="s">
        <v>151</v>
      </c>
    </row>
    <row r="34" spans="1:10" x14ac:dyDescent="0.25">
      <c r="A34" s="147" t="s">
        <v>112</v>
      </c>
      <c r="B34" s="148"/>
      <c r="C34" s="148"/>
      <c r="D34" s="148"/>
      <c r="E34" s="149"/>
      <c r="F34" s="100">
        <v>0</v>
      </c>
      <c r="G34" s="100">
        <f>F37</f>
        <v>0</v>
      </c>
      <c r="H34" s="100">
        <f>H27</f>
        <v>-25094.99</v>
      </c>
      <c r="I34" s="100">
        <f>H37</f>
        <v>0</v>
      </c>
      <c r="J34" s="101">
        <f>I37</f>
        <v>0</v>
      </c>
    </row>
    <row r="35" spans="1:10" ht="28.5" customHeight="1" x14ac:dyDescent="0.25">
      <c r="A35" s="147" t="s">
        <v>3</v>
      </c>
      <c r="B35" s="148"/>
      <c r="C35" s="148"/>
      <c r="D35" s="148"/>
      <c r="E35" s="149"/>
      <c r="F35" s="100">
        <v>0</v>
      </c>
      <c r="G35" s="100">
        <v>0</v>
      </c>
      <c r="H35" s="100">
        <v>-25094.99</v>
      </c>
      <c r="I35" s="100">
        <v>0</v>
      </c>
      <c r="J35" s="101">
        <v>0</v>
      </c>
    </row>
    <row r="36" spans="1:10" x14ac:dyDescent="0.25">
      <c r="A36" s="147" t="s">
        <v>111</v>
      </c>
      <c r="B36" s="154"/>
      <c r="C36" s="154"/>
      <c r="D36" s="154"/>
      <c r="E36" s="155"/>
      <c r="F36" s="100">
        <v>0</v>
      </c>
      <c r="G36" s="100">
        <v>0</v>
      </c>
      <c r="H36" s="100"/>
      <c r="I36" s="100">
        <v>0</v>
      </c>
      <c r="J36" s="101">
        <v>0</v>
      </c>
    </row>
    <row r="37" spans="1:10" ht="15" customHeight="1" x14ac:dyDescent="0.25">
      <c r="A37" s="143" t="s">
        <v>110</v>
      </c>
      <c r="B37" s="144"/>
      <c r="C37" s="144"/>
      <c r="D37" s="144"/>
      <c r="E37" s="144"/>
      <c r="F37" s="104">
        <f>F34-F35+F36</f>
        <v>0</v>
      </c>
      <c r="G37" s="104">
        <f>G34-G35+G36</f>
        <v>0</v>
      </c>
      <c r="H37" s="104">
        <f>H34-H35+H36</f>
        <v>0</v>
      </c>
      <c r="I37" s="104">
        <f>I34-I35+I36</f>
        <v>0</v>
      </c>
      <c r="J37" s="105">
        <f>J34-J35+J36</f>
        <v>0</v>
      </c>
    </row>
    <row r="38" spans="1:10" ht="17.25" customHeight="1" x14ac:dyDescent="0.25"/>
    <row r="39" spans="1:10" x14ac:dyDescent="0.25">
      <c r="A39" s="141"/>
      <c r="B39" s="142"/>
      <c r="C39" s="142"/>
      <c r="D39" s="142"/>
      <c r="E39" s="142"/>
      <c r="F39" s="142"/>
      <c r="G39" s="142"/>
      <c r="H39" s="142"/>
      <c r="I39" s="142"/>
      <c r="J39" s="142"/>
    </row>
    <row r="40" spans="1:10" ht="9" customHeight="1" x14ac:dyDescent="0.25"/>
    <row r="41" spans="1:10" ht="7.9" customHeight="1" x14ac:dyDescent="0.25"/>
    <row r="42" spans="1:10" ht="14.45" hidden="1" x14ac:dyDescent="0.3"/>
    <row r="43" spans="1:10" ht="14.45" hidden="1" x14ac:dyDescent="0.3"/>
    <row r="44" spans="1:10" ht="57.6" customHeight="1" x14ac:dyDescent="0.25">
      <c r="A44" s="141" t="s">
        <v>26</v>
      </c>
      <c r="B44" s="142"/>
      <c r="C44" s="142"/>
      <c r="D44" s="142"/>
      <c r="E44" s="142"/>
      <c r="F44" s="142"/>
      <c r="G44" s="142"/>
      <c r="H44" s="118"/>
    </row>
  </sheetData>
  <mergeCells count="25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4:G44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7:E37"/>
    <mergeCell ref="A36:E36"/>
  </mergeCells>
  <pageMargins left="0.51181102362204722" right="0.5118110236220472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110" zoomScaleNormal="110"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3">
      <c r="A2" s="18"/>
      <c r="B2" s="18"/>
      <c r="C2" s="18"/>
      <c r="D2" s="18"/>
      <c r="E2" s="18"/>
      <c r="F2" s="18"/>
      <c r="G2" s="18"/>
      <c r="H2" s="18"/>
    </row>
    <row r="3" spans="1:10" ht="15.75" customHeight="1" x14ac:dyDescent="0.25">
      <c r="A3" s="145" t="s">
        <v>20</v>
      </c>
      <c r="B3" s="145"/>
      <c r="C3" s="145"/>
      <c r="D3" s="145"/>
      <c r="E3" s="145"/>
      <c r="F3" s="145"/>
      <c r="G3" s="145"/>
      <c r="H3" s="145"/>
    </row>
    <row r="4" spans="1:10" ht="17.45" x14ac:dyDescent="0.3">
      <c r="A4" s="18"/>
      <c r="B4" s="18"/>
      <c r="C4" s="18"/>
      <c r="D4" s="18"/>
      <c r="E4" s="18"/>
      <c r="F4" s="18"/>
      <c r="G4" s="5"/>
      <c r="H4" s="5"/>
    </row>
    <row r="5" spans="1:10" ht="18" customHeight="1" x14ac:dyDescent="0.25">
      <c r="A5" s="145" t="s">
        <v>7</v>
      </c>
      <c r="B5" s="145"/>
      <c r="C5" s="145"/>
      <c r="D5" s="145"/>
      <c r="E5" s="145"/>
      <c r="F5" s="145"/>
      <c r="G5" s="145"/>
      <c r="H5" s="145"/>
    </row>
    <row r="6" spans="1:10" ht="17.45" x14ac:dyDescent="0.3">
      <c r="A6" s="18"/>
      <c r="B6" s="18"/>
      <c r="C6" s="18"/>
      <c r="D6" s="18"/>
      <c r="E6" s="18"/>
      <c r="F6" s="18"/>
      <c r="G6" s="5"/>
      <c r="H6" s="5"/>
    </row>
    <row r="7" spans="1:10" ht="15.75" customHeight="1" x14ac:dyDescent="0.3">
      <c r="A7" s="145" t="s">
        <v>123</v>
      </c>
      <c r="B7" s="145"/>
      <c r="C7" s="145"/>
      <c r="D7" s="145"/>
      <c r="E7" s="145"/>
      <c r="F7" s="145"/>
      <c r="G7" s="145"/>
      <c r="H7" s="145"/>
    </row>
    <row r="8" spans="1:10" ht="17.45" x14ac:dyDescent="0.3">
      <c r="A8" s="18"/>
      <c r="B8" s="18"/>
      <c r="C8" s="18"/>
      <c r="D8" s="18"/>
      <c r="E8" s="18"/>
      <c r="F8" s="18"/>
      <c r="G8" s="5"/>
      <c r="H8" s="5"/>
    </row>
    <row r="9" spans="1:10" ht="25.5" x14ac:dyDescent="0.25">
      <c r="A9" s="14" t="s">
        <v>8</v>
      </c>
      <c r="B9" s="13" t="s">
        <v>9</v>
      </c>
      <c r="C9" s="13" t="s">
        <v>6</v>
      </c>
      <c r="D9" s="14" t="s">
        <v>153</v>
      </c>
      <c r="E9" s="14" t="s">
        <v>149</v>
      </c>
      <c r="F9" s="14" t="s">
        <v>154</v>
      </c>
      <c r="G9" s="14" t="s">
        <v>125</v>
      </c>
      <c r="H9" s="14" t="s">
        <v>155</v>
      </c>
    </row>
    <row r="10" spans="1:10" ht="14.45" x14ac:dyDescent="0.3">
      <c r="A10" s="82"/>
      <c r="B10" s="83"/>
      <c r="C10" s="84" t="s">
        <v>0</v>
      </c>
      <c r="D10" s="108">
        <f>D11+D18</f>
        <v>3399312.4499999997</v>
      </c>
      <c r="E10" s="108">
        <f>E11+E18</f>
        <v>4378916.34</v>
      </c>
      <c r="F10" s="108">
        <f>F11+F18</f>
        <v>5143417.2700000005</v>
      </c>
      <c r="G10" s="108">
        <f t="shared" ref="G10:H10" si="0">G11+G18</f>
        <v>5073105.46</v>
      </c>
      <c r="H10" s="108">
        <f t="shared" si="0"/>
        <v>5073105.46</v>
      </c>
    </row>
    <row r="11" spans="1:10" ht="15.75" customHeight="1" x14ac:dyDescent="0.3">
      <c r="A11" s="9">
        <v>6</v>
      </c>
      <c r="B11" s="9"/>
      <c r="C11" s="9" t="s">
        <v>10</v>
      </c>
      <c r="D11" s="107">
        <f>SUM(D12:D17)</f>
        <v>3375169.61</v>
      </c>
      <c r="E11" s="107">
        <f t="shared" ref="E11:H11" si="1">SUM(E12:E17)</f>
        <v>4364771.16</v>
      </c>
      <c r="F11" s="107">
        <f t="shared" ref="F11" si="2">SUM(F12:F17)</f>
        <v>5120808.8600000003</v>
      </c>
      <c r="G11" s="107">
        <f t="shared" si="1"/>
        <v>5073105.46</v>
      </c>
      <c r="H11" s="107">
        <f t="shared" si="1"/>
        <v>5073105.46</v>
      </c>
    </row>
    <row r="12" spans="1:10" ht="38.25" x14ac:dyDescent="0.25">
      <c r="A12" s="28"/>
      <c r="B12" s="29">
        <v>63</v>
      </c>
      <c r="C12" s="29" t="s">
        <v>27</v>
      </c>
      <c r="D12" s="43">
        <v>2861876.89</v>
      </c>
      <c r="E12" s="43">
        <f>3500045.98+12208+5187.36</f>
        <v>3517441.34</v>
      </c>
      <c r="F12" s="43">
        <f>1188+12100+119099.07+4073455.23+31827.23+18880.55+78.08+1561.4</f>
        <v>4258189.5600000005</v>
      </c>
      <c r="G12" s="43">
        <v>4237669.53</v>
      </c>
      <c r="H12" s="43">
        <v>4237669.53</v>
      </c>
    </row>
    <row r="13" spans="1:10" ht="14.45" x14ac:dyDescent="0.3">
      <c r="A13" s="30"/>
      <c r="B13" s="30">
        <v>64</v>
      </c>
      <c r="C13" s="30" t="s">
        <v>30</v>
      </c>
      <c r="D13" s="43">
        <v>0.03</v>
      </c>
      <c r="E13" s="43"/>
      <c r="F13" s="43"/>
      <c r="G13" s="43">
        <f t="shared" ref="G13" si="3">F13</f>
        <v>0</v>
      </c>
      <c r="H13" s="43">
        <f t="shared" ref="H13" si="4">F13</f>
        <v>0</v>
      </c>
    </row>
    <row r="14" spans="1:10" ht="58.5" customHeight="1" x14ac:dyDescent="0.3">
      <c r="A14" s="30"/>
      <c r="B14" s="30">
        <v>65</v>
      </c>
      <c r="C14" s="31" t="s">
        <v>31</v>
      </c>
      <c r="D14" s="43">
        <v>74263.25</v>
      </c>
      <c r="E14" s="43">
        <v>90440</v>
      </c>
      <c r="F14" s="43">
        <f>91450</f>
        <v>91450</v>
      </c>
      <c r="G14" s="43">
        <v>91450</v>
      </c>
      <c r="H14" s="43">
        <v>91450</v>
      </c>
    </row>
    <row r="15" spans="1:10" ht="38.25" x14ac:dyDescent="0.25">
      <c r="A15" s="30"/>
      <c r="B15" s="30">
        <v>66</v>
      </c>
      <c r="C15" s="31" t="s">
        <v>36</v>
      </c>
      <c r="D15" s="43">
        <v>6449.55</v>
      </c>
      <c r="E15" s="43">
        <f>380+3945</f>
        <v>4325</v>
      </c>
      <c r="F15" s="43">
        <f>800+4165+850+500</f>
        <v>6315</v>
      </c>
      <c r="G15" s="43">
        <v>6315</v>
      </c>
      <c r="H15" s="43">
        <v>6315</v>
      </c>
    </row>
    <row r="16" spans="1:10" ht="38.25" x14ac:dyDescent="0.25">
      <c r="A16" s="30"/>
      <c r="B16" s="30">
        <v>67</v>
      </c>
      <c r="C16" s="29" t="s">
        <v>28</v>
      </c>
      <c r="D16" s="43">
        <v>432579.89</v>
      </c>
      <c r="E16" s="43">
        <f>738961.17+13553.65</f>
        <v>752514.82000000007</v>
      </c>
      <c r="F16" s="43">
        <f>572963.44+85000+21017.49+45200+11800+1600+27183.37</f>
        <v>764764.29999999993</v>
      </c>
      <c r="G16" s="43">
        <v>737580.93</v>
      </c>
      <c r="H16" s="43">
        <v>737580.93</v>
      </c>
    </row>
    <row r="17" spans="1:13" ht="26.45" x14ac:dyDescent="0.3">
      <c r="A17" s="30"/>
      <c r="B17" s="30">
        <v>68</v>
      </c>
      <c r="C17" s="31" t="s">
        <v>32</v>
      </c>
      <c r="D17" s="43">
        <v>0</v>
      </c>
      <c r="E17" s="43">
        <v>50</v>
      </c>
      <c r="F17" s="43">
        <f>90</f>
        <v>90</v>
      </c>
      <c r="G17" s="43">
        <v>90</v>
      </c>
      <c r="H17" s="43">
        <v>90</v>
      </c>
    </row>
    <row r="18" spans="1:13" s="109" customFormat="1" x14ac:dyDescent="0.25">
      <c r="A18" s="110"/>
      <c r="B18" s="111">
        <v>92</v>
      </c>
      <c r="C18" s="113" t="s">
        <v>78</v>
      </c>
      <c r="D18" s="112">
        <v>24142.84</v>
      </c>
      <c r="E18" s="112">
        <v>14145.18</v>
      </c>
      <c r="F18" s="112">
        <v>22608.41</v>
      </c>
      <c r="G18" s="112"/>
      <c r="H18" s="112"/>
    </row>
    <row r="20" spans="1:13" ht="15.6" x14ac:dyDescent="0.3">
      <c r="A20" s="145" t="s">
        <v>126</v>
      </c>
      <c r="B20" s="164"/>
      <c r="C20" s="164"/>
      <c r="D20" s="164"/>
      <c r="E20" s="164"/>
      <c r="F20" s="164"/>
      <c r="G20" s="164"/>
      <c r="H20" s="164"/>
      <c r="M20" s="132"/>
    </row>
    <row r="21" spans="1:13" ht="17.45" x14ac:dyDescent="0.3">
      <c r="A21" s="18"/>
      <c r="B21" s="18"/>
      <c r="C21" s="18"/>
      <c r="D21" s="18"/>
      <c r="E21" s="18"/>
      <c r="F21" s="18"/>
      <c r="G21" s="5"/>
      <c r="H21" s="5"/>
    </row>
    <row r="22" spans="1:13" ht="25.5" x14ac:dyDescent="0.25">
      <c r="A22" s="14" t="s">
        <v>8</v>
      </c>
      <c r="B22" s="13" t="s">
        <v>9</v>
      </c>
      <c r="C22" s="13" t="s">
        <v>12</v>
      </c>
      <c r="D22" s="14" t="s">
        <v>153</v>
      </c>
      <c r="E22" s="14" t="s">
        <v>149</v>
      </c>
      <c r="F22" s="14" t="s">
        <v>154</v>
      </c>
      <c r="G22" s="14" t="s">
        <v>125</v>
      </c>
      <c r="H22" s="14" t="s">
        <v>155</v>
      </c>
    </row>
    <row r="23" spans="1:13" ht="14.45" x14ac:dyDescent="0.3">
      <c r="A23" s="82"/>
      <c r="B23" s="83"/>
      <c r="C23" s="84" t="s">
        <v>1</v>
      </c>
      <c r="D23" s="108">
        <f>D24+D30</f>
        <v>3382423.57</v>
      </c>
      <c r="E23" s="108">
        <f>E24+E30</f>
        <v>4378916.34</v>
      </c>
      <c r="F23" s="108">
        <f>F24+F30</f>
        <v>5095713.87</v>
      </c>
      <c r="G23" s="108">
        <f t="shared" ref="G23:H23" si="5">G24+G30</f>
        <v>5073105.4600000009</v>
      </c>
      <c r="H23" s="108">
        <f t="shared" si="5"/>
        <v>5073105.4600000009</v>
      </c>
    </row>
    <row r="24" spans="1:13" ht="15.75" customHeight="1" x14ac:dyDescent="0.3">
      <c r="A24" s="9">
        <v>3</v>
      </c>
      <c r="B24" s="9"/>
      <c r="C24" s="9" t="s">
        <v>13</v>
      </c>
      <c r="D24" s="107">
        <f>SUM(D25:D29)</f>
        <v>3303873.4699999997</v>
      </c>
      <c r="E24" s="107">
        <f t="shared" ref="E24:H24" si="6">SUM(E25:E29)</f>
        <v>4237728.28</v>
      </c>
      <c r="F24" s="107">
        <f t="shared" ref="F24" si="7">SUM(F25:F29)</f>
        <v>4900023.2</v>
      </c>
      <c r="G24" s="107">
        <f t="shared" si="6"/>
        <v>4885328.2300000004</v>
      </c>
      <c r="H24" s="107">
        <f t="shared" si="6"/>
        <v>4885328.2300000004</v>
      </c>
    </row>
    <row r="25" spans="1:13" ht="21" customHeight="1" x14ac:dyDescent="0.25">
      <c r="A25" s="28"/>
      <c r="B25" s="29">
        <v>31</v>
      </c>
      <c r="C25" s="29" t="s">
        <v>14</v>
      </c>
      <c r="D25" s="43">
        <v>2672968.61</v>
      </c>
      <c r="E25" s="43">
        <f>'POSEBNI DIO'!F38+'POSEBNI DIO'!F41+'POSEBNI DIO'!F44+'POSEBNI DIO'!F47+'POSEBNI DIO'!F51+'POSEBNI DIO'!F55+'POSEBNI DIO'!F64+'POSEBNI DIO'!F135+'POSEBNI DIO'!F159+'POSEBNI DIO'!F163+'POSEBNI DIO'!F167+'POSEBNI DIO'!F172+'POSEBNI DIO'!F177+'POSEBNI DIO'!F182+'POSEBNI DIO'!F186+'POSEBNI DIO'!F190</f>
        <v>3476897.23</v>
      </c>
      <c r="F25" s="43">
        <f>'POSEBNI DIO'!G38+'POSEBNI DIO'!G41+'POSEBNI DIO'!G44+'POSEBNI DIO'!G47+'POSEBNI DIO'!G51+'POSEBNI DIO'!G55+'POSEBNI DIO'!G64+'POSEBNI DIO'!G135+'POSEBNI DIO'!G159+'POSEBNI DIO'!G163+'POSEBNI DIO'!G167+'POSEBNI DIO'!G172+'POSEBNI DIO'!G177+'POSEBNI DIO'!G182+'POSEBNI DIO'!G186+'POSEBNI DIO'!G190</f>
        <v>4094712.66</v>
      </c>
      <c r="G25" s="43">
        <f>'POSEBNI DIO'!H38+'POSEBNI DIO'!H41+'POSEBNI DIO'!H44+'POSEBNI DIO'!H47+'POSEBNI DIO'!H51+'POSEBNI DIO'!H55+'POSEBNI DIO'!H64+'POSEBNI DIO'!H135+'POSEBNI DIO'!H159+'POSEBNI DIO'!H163+'POSEBNI DIO'!H167+'POSEBNI DIO'!H172+'POSEBNI DIO'!H177+'POSEBNI DIO'!H182+'POSEBNI DIO'!H186+'POSEBNI DIO'!H190</f>
        <v>4094712.66</v>
      </c>
      <c r="H25" s="43">
        <f>'POSEBNI DIO'!I38+'POSEBNI DIO'!I41+'POSEBNI DIO'!I44+'POSEBNI DIO'!I47+'POSEBNI DIO'!I51+'POSEBNI DIO'!I55+'POSEBNI DIO'!I64+'POSEBNI DIO'!I135+'POSEBNI DIO'!I159+'POSEBNI DIO'!I163+'POSEBNI DIO'!I167+'POSEBNI DIO'!I172+'POSEBNI DIO'!I177+'POSEBNI DIO'!I182+'POSEBNI DIO'!I186+'POSEBNI DIO'!I190</f>
        <v>4094712.66</v>
      </c>
    </row>
    <row r="26" spans="1:13" x14ac:dyDescent="0.25">
      <c r="A26" s="30"/>
      <c r="B26" s="30">
        <v>32</v>
      </c>
      <c r="C26" s="30" t="s">
        <v>23</v>
      </c>
      <c r="D26" s="43">
        <v>527710.38</v>
      </c>
      <c r="E26" s="43">
        <f>'POSEBNI DIO'!F10+'POSEBNI DIO'!F26+'POSEBNI DIO'!F48+'POSEBNI DIO'!F52+'POSEBNI DIO'!F58+'POSEBNI DIO'!F68+'POSEBNI DIO'!F71+'POSEBNI DIO'!F75+'POSEBNI DIO'!F78+'POSEBNI DIO'!F80+'POSEBNI DIO'!F82+'POSEBNI DIO'!F85+'POSEBNI DIO'!F90+'POSEBNI DIO'!F93+'POSEBNI DIO'!F95+'POSEBNI DIO'!F130+'POSEBNI DIO'!F136+'POSEBNI DIO'!F144+'POSEBNI DIO'!F149+'POSEBNI DIO'!F152+'POSEBNI DIO'!F155+'POSEBNI DIO'!F160+'POSEBNI DIO'!F164+'POSEBNI DIO'!F168+'POSEBNI DIO'!F173+'POSEBNI DIO'!F178+'POSEBNI DIO'!F183+'POSEBNI DIO'!F187+'POSEBNI DIO'!F191</f>
        <v>614693.3600000001</v>
      </c>
      <c r="F26" s="43">
        <f>'POSEBNI DIO'!G10+'POSEBNI DIO'!G26+'POSEBNI DIO'!G48+'POSEBNI DIO'!G52+'POSEBNI DIO'!G58+'POSEBNI DIO'!G68+'POSEBNI DIO'!G71+'POSEBNI DIO'!G75+'POSEBNI DIO'!G78+'POSEBNI DIO'!G80+'POSEBNI DIO'!G82+'POSEBNI DIO'!G85+'POSEBNI DIO'!G90+'POSEBNI DIO'!G93+'POSEBNI DIO'!G95+'POSEBNI DIO'!G130+'POSEBNI DIO'!G136+'POSEBNI DIO'!G144+'POSEBNI DIO'!G149+'POSEBNI DIO'!G152+'POSEBNI DIO'!G155+'POSEBNI DIO'!G160+'POSEBNI DIO'!G164+'POSEBNI DIO'!G168+'POSEBNI DIO'!G173+'POSEBNI DIO'!G178+'POSEBNI DIO'!G183+'POSEBNI DIO'!G187+'POSEBNI DIO'!G191</f>
        <v>651992.03999999992</v>
      </c>
      <c r="G26" s="43">
        <f>'POSEBNI DIO'!H10+'POSEBNI DIO'!H26+'POSEBNI DIO'!H48+'POSEBNI DIO'!H52+'POSEBNI DIO'!H58+'POSEBNI DIO'!H68+'POSEBNI DIO'!H71+'POSEBNI DIO'!H75+'POSEBNI DIO'!H78+'POSEBNI DIO'!H80+'POSEBNI DIO'!H82+'POSEBNI DIO'!H85+'POSEBNI DIO'!H90+'POSEBNI DIO'!H93+'POSEBNI DIO'!H95+'POSEBNI DIO'!H130+'POSEBNI DIO'!H136+'POSEBNI DIO'!H144+'POSEBNI DIO'!H149+'POSEBNI DIO'!H152+'POSEBNI DIO'!H155+'POSEBNI DIO'!H160+'POSEBNI DIO'!H164+'POSEBNI DIO'!H168+'POSEBNI DIO'!H173+'POSEBNI DIO'!H178+'POSEBNI DIO'!H183+'POSEBNI DIO'!H187+'POSEBNI DIO'!H191</f>
        <v>637317.06999999995</v>
      </c>
      <c r="H26" s="43">
        <f>'POSEBNI DIO'!I10+'POSEBNI DIO'!I26+'POSEBNI DIO'!I48+'POSEBNI DIO'!I52+'POSEBNI DIO'!I58+'POSEBNI DIO'!I68+'POSEBNI DIO'!I71+'POSEBNI DIO'!I75+'POSEBNI DIO'!I78+'POSEBNI DIO'!I80+'POSEBNI DIO'!I82+'POSEBNI DIO'!I85+'POSEBNI DIO'!I90+'POSEBNI DIO'!I93+'POSEBNI DIO'!I95+'POSEBNI DIO'!I130+'POSEBNI DIO'!I136+'POSEBNI DIO'!I144+'POSEBNI DIO'!I149+'POSEBNI DIO'!I152+'POSEBNI DIO'!I155+'POSEBNI DIO'!I160+'POSEBNI DIO'!I164+'POSEBNI DIO'!I168+'POSEBNI DIO'!I173+'POSEBNI DIO'!I178+'POSEBNI DIO'!I183+'POSEBNI DIO'!I187+'POSEBNI DIO'!I191</f>
        <v>637317.06999999995</v>
      </c>
    </row>
    <row r="27" spans="1:13" x14ac:dyDescent="0.25">
      <c r="A27" s="30"/>
      <c r="B27" s="30">
        <v>34</v>
      </c>
      <c r="C27" s="30" t="s">
        <v>33</v>
      </c>
      <c r="D27" s="43">
        <v>953.59</v>
      </c>
      <c r="E27" s="43">
        <f>'POSEBNI DIO'!F14+'POSEBNI DIO'!F98+'POSEBNI DIO'!F100+'POSEBNI DIO'!F102+'POSEBNI DIO'!F104</f>
        <v>719.82</v>
      </c>
      <c r="F27" s="43">
        <f>'POSEBNI DIO'!G14+'POSEBNI DIO'!G98+'POSEBNI DIO'!G100+'POSEBNI DIO'!G102+'POSEBNI DIO'!G104</f>
        <v>100</v>
      </c>
      <c r="G27" s="43">
        <f>'POSEBNI DIO'!H14+'POSEBNI DIO'!H98+'POSEBNI DIO'!H100+'POSEBNI DIO'!H102+'POSEBNI DIO'!H104</f>
        <v>80</v>
      </c>
      <c r="H27" s="43">
        <f>'POSEBNI DIO'!I14+'POSEBNI DIO'!I98+'POSEBNI DIO'!I100+'POSEBNI DIO'!I102+'POSEBNI DIO'!I104</f>
        <v>80</v>
      </c>
    </row>
    <row r="28" spans="1:13" ht="38.25" x14ac:dyDescent="0.25">
      <c r="A28" s="30"/>
      <c r="B28" s="30">
        <v>37</v>
      </c>
      <c r="C28" s="31" t="s">
        <v>34</v>
      </c>
      <c r="D28" s="43">
        <v>99816.94</v>
      </c>
      <c r="E28" s="43">
        <f>'POSEBNI DIO'!F69+'POSEBNI DIO'!F72+'POSEBNI DIO'!F76+'POSEBNI DIO'!F86+'POSEBNI DIO'!F91+'POSEBNI DIO'!F131+'POSEBNI DIO'!F140</f>
        <v>142993.91999999998</v>
      </c>
      <c r="F28" s="43">
        <f>'POSEBNI DIO'!G69+'POSEBNI DIO'!G72+'POSEBNI DIO'!G76+'POSEBNI DIO'!G86+'POSEBNI DIO'!G91+'POSEBNI DIO'!G131+'POSEBNI DIO'!G140</f>
        <v>151000</v>
      </c>
      <c r="G28" s="43">
        <f>'POSEBNI DIO'!H69+'POSEBNI DIO'!H72+'POSEBNI DIO'!H76+'POSEBNI DIO'!H86+'POSEBNI DIO'!H91+'POSEBNI DIO'!H131+'POSEBNI DIO'!H140</f>
        <v>151000</v>
      </c>
      <c r="H28" s="43">
        <f>'POSEBNI DIO'!I69+'POSEBNI DIO'!I72+'POSEBNI DIO'!I76+'POSEBNI DIO'!I86+'POSEBNI DIO'!I91+'POSEBNI DIO'!I131+'POSEBNI DIO'!I140</f>
        <v>151000</v>
      </c>
    </row>
    <row r="29" spans="1:13" ht="25.5" x14ac:dyDescent="0.25">
      <c r="A29" s="30"/>
      <c r="B29" s="30">
        <v>38</v>
      </c>
      <c r="C29" s="31" t="s">
        <v>129</v>
      </c>
      <c r="D29" s="43">
        <v>2423.9499999999998</v>
      </c>
      <c r="E29" s="43">
        <f>'POSEBNI DIO'!F87</f>
        <v>2423.9499999999998</v>
      </c>
      <c r="F29" s="43">
        <f>'POSEBNI DIO'!G87</f>
        <v>2218.5</v>
      </c>
      <c r="G29" s="43">
        <f>'POSEBNI DIO'!H87</f>
        <v>2218.5</v>
      </c>
      <c r="H29" s="43">
        <f>'POSEBNI DIO'!I87</f>
        <v>2218.5</v>
      </c>
    </row>
    <row r="30" spans="1:13" ht="25.5" x14ac:dyDescent="0.25">
      <c r="A30" s="85">
        <v>4</v>
      </c>
      <c r="B30" s="86"/>
      <c r="C30" s="87" t="s">
        <v>15</v>
      </c>
      <c r="D30" s="107">
        <f>D31+D32</f>
        <v>78550.100000000006</v>
      </c>
      <c r="E30" s="107">
        <f t="shared" ref="E30:H30" si="8">E31+E32</f>
        <v>141188.06</v>
      </c>
      <c r="F30" s="107">
        <f t="shared" si="8"/>
        <v>195690.66999999998</v>
      </c>
      <c r="G30" s="107">
        <f t="shared" si="8"/>
        <v>187777.22999999998</v>
      </c>
      <c r="H30" s="107">
        <f t="shared" si="8"/>
        <v>187777.22999999998</v>
      </c>
    </row>
    <row r="31" spans="1:13" ht="38.25" x14ac:dyDescent="0.25">
      <c r="A31" s="29"/>
      <c r="B31" s="29">
        <v>42</v>
      </c>
      <c r="C31" s="32" t="s">
        <v>29</v>
      </c>
      <c r="D31" s="43">
        <v>43747.6</v>
      </c>
      <c r="E31" s="43">
        <f>'POSEBNI DIO'!F18+'POSEBNI DIO'!F107+'POSEBNI DIO'!F109+'POSEBNI DIO'!F111+'POSEBNI DIO'!F113+'POSEBNI DIO'!F115+'POSEBNI DIO'!F117+'POSEBNI DIO'!F119+'POSEBNI DIO'!F121+'POSEBNI DIO'!F123+'POSEBNI DIO'!F146</f>
        <v>81188.06</v>
      </c>
      <c r="F31" s="43">
        <f>'POSEBNI DIO'!G18+'POSEBNI DIO'!G30+'POSEBNI DIO'!G107+'POSEBNI DIO'!G109+'POSEBNI DIO'!G111+'POSEBNI DIO'!G113+'POSEBNI DIO'!G115+'POSEBNI DIO'!G117+'POSEBNI DIO'!G119+'POSEBNI DIO'!G121+'POSEBNI DIO'!G123+'POSEBNI DIO'!G125+'POSEBNI DIO'!G146</f>
        <v>70490.67</v>
      </c>
      <c r="G31" s="43">
        <f>'POSEBNI DIO'!H18+'POSEBNI DIO'!H30+'POSEBNI DIO'!H107+'POSEBNI DIO'!H109+'POSEBNI DIO'!H111+'POSEBNI DIO'!H113+'POSEBNI DIO'!H115+'POSEBNI DIO'!H117+'POSEBNI DIO'!H119+'POSEBNI DIO'!H121+'POSEBNI DIO'!H123+'POSEBNI DIO'!H125+'POSEBNI DIO'!H146</f>
        <v>62577.229999999996</v>
      </c>
      <c r="H31" s="43">
        <f>'POSEBNI DIO'!I18+'POSEBNI DIO'!I30+'POSEBNI DIO'!I107+'POSEBNI DIO'!I109+'POSEBNI DIO'!I111+'POSEBNI DIO'!I113+'POSEBNI DIO'!I115+'POSEBNI DIO'!I117+'POSEBNI DIO'!I119+'POSEBNI DIO'!I121+'POSEBNI DIO'!I123+'POSEBNI DIO'!I125+'POSEBNI DIO'!I146</f>
        <v>62577.229999999996</v>
      </c>
    </row>
    <row r="32" spans="1:13" ht="25.5" x14ac:dyDescent="0.25">
      <c r="A32" s="29"/>
      <c r="B32" s="29">
        <v>45</v>
      </c>
      <c r="C32" s="32" t="s">
        <v>35</v>
      </c>
      <c r="D32" s="43">
        <v>34802.5</v>
      </c>
      <c r="E32" s="43">
        <f>'POSEBNI DIO'!F22+'POSEBNI DIO'!F34</f>
        <v>60000</v>
      </c>
      <c r="F32" s="43">
        <f>'POSEBNI DIO'!G22+'POSEBNI DIO'!G34</f>
        <v>125200</v>
      </c>
      <c r="G32" s="43">
        <f>'POSEBNI DIO'!H22+'POSEBNI DIO'!H34</f>
        <v>125200</v>
      </c>
      <c r="H32" s="43">
        <f>'POSEBNI DIO'!I22+'POSEBNI DIO'!I34</f>
        <v>125200</v>
      </c>
    </row>
  </sheetData>
  <mergeCells count="5">
    <mergeCell ref="A3:H3"/>
    <mergeCell ref="A5:H5"/>
    <mergeCell ref="A7:H7"/>
    <mergeCell ref="A20:H20"/>
    <mergeCell ref="A1:J1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="120" zoomScaleNormal="120" workbookViewId="0">
      <selection activeCell="H15" sqref="H15"/>
    </sheetView>
  </sheetViews>
  <sheetFormatPr defaultRowHeight="15" x14ac:dyDescent="0.25"/>
  <cols>
    <col min="1" max="1" width="5" customWidth="1"/>
    <col min="2" max="2" width="5.7109375" customWidth="1"/>
    <col min="3" max="3" width="28.7109375" customWidth="1"/>
    <col min="4" max="8" width="25.28515625" customWidth="1"/>
  </cols>
  <sheetData>
    <row r="1" spans="1:10" ht="42" customHeight="1" x14ac:dyDescent="0.25">
      <c r="A1" s="145" t="s">
        <v>152</v>
      </c>
      <c r="B1" s="145"/>
      <c r="C1" s="145"/>
      <c r="D1" s="145"/>
      <c r="E1" s="145"/>
      <c r="F1" s="145"/>
      <c r="G1" s="145"/>
      <c r="H1" s="145"/>
      <c r="I1" s="128"/>
      <c r="J1" s="128"/>
    </row>
    <row r="2" spans="1:10" ht="18" customHeight="1" x14ac:dyDescent="0.25">
      <c r="A2" s="18"/>
      <c r="B2" s="18"/>
      <c r="C2" s="18"/>
      <c r="D2" s="18"/>
      <c r="E2" s="18"/>
      <c r="F2" s="18"/>
      <c r="G2" s="18"/>
      <c r="H2" s="18"/>
    </row>
    <row r="3" spans="1:10" ht="15.75" x14ac:dyDescent="0.25">
      <c r="A3" s="145" t="s">
        <v>20</v>
      </c>
      <c r="B3" s="145"/>
      <c r="C3" s="145"/>
      <c r="D3" s="145"/>
      <c r="E3" s="145"/>
      <c r="F3" s="145"/>
      <c r="G3" s="158"/>
      <c r="H3" s="158"/>
    </row>
    <row r="4" spans="1:10" ht="17.45" x14ac:dyDescent="0.3">
      <c r="A4" s="18"/>
      <c r="B4" s="18"/>
      <c r="C4" s="18"/>
      <c r="D4" s="18"/>
      <c r="E4" s="18"/>
      <c r="F4" s="18"/>
      <c r="G4" s="5"/>
      <c r="H4" s="5"/>
    </row>
    <row r="5" spans="1:10" ht="18" customHeight="1" x14ac:dyDescent="0.25">
      <c r="A5" s="145" t="s">
        <v>133</v>
      </c>
      <c r="B5" s="146"/>
      <c r="C5" s="146"/>
      <c r="D5" s="146"/>
      <c r="E5" s="146"/>
      <c r="F5" s="146"/>
      <c r="G5" s="146"/>
      <c r="H5" s="146"/>
    </row>
    <row r="6" spans="1:10" ht="17.45" x14ac:dyDescent="0.3">
      <c r="A6" s="18"/>
      <c r="B6" s="18"/>
      <c r="C6" s="18"/>
      <c r="D6" s="18"/>
      <c r="E6" s="18"/>
      <c r="F6" s="18"/>
      <c r="G6" s="5"/>
      <c r="H6" s="5"/>
    </row>
    <row r="7" spans="1:10" ht="15.6" x14ac:dyDescent="0.3">
      <c r="A7" s="145" t="s">
        <v>134</v>
      </c>
      <c r="B7" s="164"/>
      <c r="C7" s="164"/>
      <c r="D7" s="164"/>
      <c r="E7" s="164"/>
      <c r="F7" s="164"/>
      <c r="G7" s="164"/>
      <c r="H7" s="164"/>
    </row>
    <row r="8" spans="1:10" ht="17.45" x14ac:dyDescent="0.3">
      <c r="A8" s="18"/>
      <c r="B8" s="18"/>
      <c r="C8" s="18"/>
      <c r="D8" s="46"/>
      <c r="E8" s="46"/>
      <c r="F8" s="46"/>
      <c r="G8" s="46"/>
      <c r="H8" s="46"/>
      <c r="I8" s="35"/>
    </row>
    <row r="9" spans="1:10" ht="25.5" x14ac:dyDescent="0.25">
      <c r="A9" s="168" t="s">
        <v>127</v>
      </c>
      <c r="B9" s="169"/>
      <c r="C9" s="170"/>
      <c r="D9" s="14" t="s">
        <v>153</v>
      </c>
      <c r="E9" s="14" t="s">
        <v>149</v>
      </c>
      <c r="F9" s="14" t="s">
        <v>154</v>
      </c>
      <c r="G9" s="14" t="s">
        <v>125</v>
      </c>
      <c r="H9" s="14" t="s">
        <v>155</v>
      </c>
    </row>
    <row r="10" spans="1:10" s="115" customFormat="1" ht="25.5" customHeight="1" x14ac:dyDescent="0.3">
      <c r="A10" s="177" t="s">
        <v>0</v>
      </c>
      <c r="B10" s="178"/>
      <c r="C10" s="179"/>
      <c r="D10" s="116">
        <f>SUM(D11:D18)</f>
        <v>3375169.61</v>
      </c>
      <c r="E10" s="116">
        <f t="shared" ref="E10:H10" si="0">SUM(E11:E18)</f>
        <v>4364771.16</v>
      </c>
      <c r="F10" s="116">
        <f t="shared" si="0"/>
        <v>5120808.8599999994</v>
      </c>
      <c r="G10" s="116">
        <f t="shared" si="0"/>
        <v>5073105.46</v>
      </c>
      <c r="H10" s="116">
        <f t="shared" si="0"/>
        <v>5073105.46</v>
      </c>
    </row>
    <row r="11" spans="1:10" x14ac:dyDescent="0.25">
      <c r="A11" s="165" t="s">
        <v>135</v>
      </c>
      <c r="B11" s="166"/>
      <c r="C11" s="167"/>
      <c r="D11" s="40">
        <v>432579.89</v>
      </c>
      <c r="E11" s="40">
        <f>E25+13553.65</f>
        <v>752514.82000000007</v>
      </c>
      <c r="F11" s="40">
        <f>572963.44+85000+27183.37</f>
        <v>685146.80999999994</v>
      </c>
      <c r="G11" s="40">
        <v>657963.43999999994</v>
      </c>
      <c r="H11" s="40">
        <v>657963.43999999994</v>
      </c>
    </row>
    <row r="12" spans="1:10" ht="14.45" x14ac:dyDescent="0.3">
      <c r="A12" s="165" t="s">
        <v>136</v>
      </c>
      <c r="B12" s="166"/>
      <c r="C12" s="167"/>
      <c r="D12" s="40">
        <v>3206.44</v>
      </c>
      <c r="E12" s="40">
        <f>E26</f>
        <v>3995</v>
      </c>
      <c r="F12" s="40">
        <f>800+4165+90</f>
        <v>5055</v>
      </c>
      <c r="G12" s="40">
        <v>5055</v>
      </c>
      <c r="H12" s="40">
        <v>5055</v>
      </c>
    </row>
    <row r="13" spans="1:10" ht="14.45" x14ac:dyDescent="0.3">
      <c r="A13" s="165" t="s">
        <v>137</v>
      </c>
      <c r="B13" s="166"/>
      <c r="C13" s="167"/>
      <c r="D13" s="40">
        <v>74263.25</v>
      </c>
      <c r="E13" s="40">
        <f>E28</f>
        <v>90440</v>
      </c>
      <c r="F13" s="40">
        <f>91450</f>
        <v>91450</v>
      </c>
      <c r="G13" s="40">
        <v>91450</v>
      </c>
      <c r="H13" s="40">
        <v>91450</v>
      </c>
    </row>
    <row r="14" spans="1:10" x14ac:dyDescent="0.25">
      <c r="A14" s="165" t="s">
        <v>167</v>
      </c>
      <c r="B14" s="166"/>
      <c r="C14" s="167"/>
      <c r="D14" s="40"/>
      <c r="E14" s="40"/>
      <c r="F14" s="40">
        <f>21017.49+45200+11800+1600+78.08</f>
        <v>79695.570000000007</v>
      </c>
      <c r="G14" s="40">
        <v>79617.490000000005</v>
      </c>
      <c r="H14" s="40">
        <v>79617.490000000005</v>
      </c>
    </row>
    <row r="15" spans="1:10" ht="14.45" x14ac:dyDescent="0.3">
      <c r="A15" s="165" t="s">
        <v>156</v>
      </c>
      <c r="B15" s="166"/>
      <c r="C15" s="167"/>
      <c r="D15" s="40">
        <v>20273.16</v>
      </c>
      <c r="E15" s="40"/>
      <c r="F15" s="40"/>
      <c r="G15" s="40">
        <f t="shared" ref="G15" si="1">F15</f>
        <v>0</v>
      </c>
      <c r="H15" s="40">
        <f t="shared" ref="H15" si="2">F15</f>
        <v>0</v>
      </c>
    </row>
    <row r="16" spans="1:10" ht="14.45" x14ac:dyDescent="0.3">
      <c r="A16" s="165" t="s">
        <v>138</v>
      </c>
      <c r="B16" s="166"/>
      <c r="C16" s="167"/>
      <c r="D16" s="40">
        <v>99581.47</v>
      </c>
      <c r="E16" s="40">
        <f>E33+5187.36</f>
        <v>17395.36</v>
      </c>
      <c r="F16" s="40">
        <f>1188+12100+119099.07+1561.4</f>
        <v>133948.47</v>
      </c>
      <c r="G16" s="40">
        <v>132387.07</v>
      </c>
      <c r="H16" s="40">
        <v>132387.07</v>
      </c>
    </row>
    <row r="17" spans="1:9" x14ac:dyDescent="0.25">
      <c r="A17" s="165" t="s">
        <v>139</v>
      </c>
      <c r="B17" s="166"/>
      <c r="C17" s="167"/>
      <c r="D17" s="40">
        <v>2742022.26</v>
      </c>
      <c r="E17" s="40">
        <f>E35</f>
        <v>3500045.98</v>
      </c>
      <c r="F17" s="40">
        <f>4073455.23+31827.23+18880.55</f>
        <v>4124163.01</v>
      </c>
      <c r="G17" s="40">
        <v>4105282.46</v>
      </c>
      <c r="H17" s="40">
        <v>4105282.46</v>
      </c>
    </row>
    <row r="18" spans="1:9" x14ac:dyDescent="0.25">
      <c r="A18" s="165" t="s">
        <v>140</v>
      </c>
      <c r="B18" s="166"/>
      <c r="C18" s="167"/>
      <c r="D18" s="40">
        <v>3243.14</v>
      </c>
      <c r="E18" s="40">
        <f>E37</f>
        <v>380</v>
      </c>
      <c r="F18" s="40">
        <f>850+500</f>
        <v>1350</v>
      </c>
      <c r="G18" s="40">
        <v>1350</v>
      </c>
      <c r="H18" s="40">
        <v>1350</v>
      </c>
    </row>
    <row r="21" spans="1:9" ht="15.75" x14ac:dyDescent="0.25">
      <c r="A21" s="145" t="s">
        <v>141</v>
      </c>
      <c r="B21" s="164"/>
      <c r="C21" s="164"/>
      <c r="D21" s="164"/>
      <c r="E21" s="164"/>
      <c r="F21" s="164"/>
      <c r="G21" s="164"/>
      <c r="H21" s="164"/>
    </row>
    <row r="22" spans="1:9" ht="18" x14ac:dyDescent="0.25">
      <c r="A22" s="18"/>
      <c r="B22" s="18"/>
      <c r="C22" s="18"/>
      <c r="D22" s="46"/>
      <c r="E22" s="46"/>
      <c r="F22" s="46"/>
      <c r="G22" s="46"/>
      <c r="H22" s="46"/>
      <c r="I22" s="35"/>
    </row>
    <row r="23" spans="1:9" ht="25.5" x14ac:dyDescent="0.25">
      <c r="A23" s="168" t="s">
        <v>127</v>
      </c>
      <c r="B23" s="169"/>
      <c r="C23" s="170"/>
      <c r="D23" s="14" t="s">
        <v>153</v>
      </c>
      <c r="E23" s="14" t="s">
        <v>149</v>
      </c>
      <c r="F23" s="14" t="s">
        <v>154</v>
      </c>
      <c r="G23" s="14" t="s">
        <v>125</v>
      </c>
      <c r="H23" s="14" t="s">
        <v>155</v>
      </c>
    </row>
    <row r="24" spans="1:9" ht="15.75" customHeight="1" x14ac:dyDescent="0.25">
      <c r="A24" s="171" t="s">
        <v>1</v>
      </c>
      <c r="B24" s="172"/>
      <c r="C24" s="173"/>
      <c r="D24" s="45">
        <f>SUM(D25:D38)</f>
        <v>3382423.5700000003</v>
      </c>
      <c r="E24" s="45">
        <f t="shared" ref="E24:H24" si="3">SUM(E25:E38)</f>
        <v>4378916.34</v>
      </c>
      <c r="F24" s="45">
        <f t="shared" si="3"/>
        <v>5095713.87</v>
      </c>
      <c r="G24" s="45">
        <f t="shared" si="3"/>
        <v>5073105.46</v>
      </c>
      <c r="H24" s="45">
        <f t="shared" si="3"/>
        <v>5073105.46</v>
      </c>
    </row>
    <row r="25" spans="1:9" s="114" customFormat="1" ht="15.75" customHeight="1" x14ac:dyDescent="0.25">
      <c r="A25" s="165" t="s">
        <v>135</v>
      </c>
      <c r="B25" s="166"/>
      <c r="C25" s="167"/>
      <c r="D25" s="44">
        <v>448446.36</v>
      </c>
      <c r="E25" s="44">
        <f>'POSEBNI DIO'!F8+'POSEBNI DIO'!F12+'POSEBNI DIO'!F16+'POSEBNI DIO'!F20+'POSEBNI DIO'!F24+'POSEBNI DIO'!F32+'POSEBNI DIO'!F128+'POSEBNI DIO'!F133+'POSEBNI DIO'!F138+'POSEBNI DIO'!F142+'POSEBNI DIO'!F147+'POSEBNI DIO'!F157+'POSEBNI DIO'!F170+'POSEBNI DIO'!F175+'POSEBNI DIO'!F180</f>
        <v>738961.17</v>
      </c>
      <c r="F25" s="44">
        <f>'POSEBNI DIO'!G8+'POSEBNI DIO'!G12+'POSEBNI DIO'!G24+'POSEBNI DIO'!G28+'POSEBNI DIO'!G32+'POSEBNI DIO'!G128+'POSEBNI DIO'!G133+'POSEBNI DIO'!G138+'POSEBNI DIO'!G142+'POSEBNI DIO'!G157+'POSEBNI DIO'!G170+'POSEBNI DIO'!G175+'POSEBNI DIO'!G180</f>
        <v>657963.43999999994</v>
      </c>
      <c r="G25" s="44">
        <f>'POSEBNI DIO'!H8+'POSEBNI DIO'!H12+'POSEBNI DIO'!H24+'POSEBNI DIO'!H28+'POSEBNI DIO'!H32+'POSEBNI DIO'!H128+'POSEBNI DIO'!H133+'POSEBNI DIO'!H138+'POSEBNI DIO'!H142+'POSEBNI DIO'!H157+'POSEBNI DIO'!H170+'POSEBNI DIO'!H175+'POSEBNI DIO'!H180</f>
        <v>657963.43999999994</v>
      </c>
      <c r="H25" s="44">
        <f>'POSEBNI DIO'!I8+'POSEBNI DIO'!I12+'POSEBNI DIO'!I24+'POSEBNI DIO'!I28+'POSEBNI DIO'!I32+'POSEBNI DIO'!I128+'POSEBNI DIO'!I133+'POSEBNI DIO'!I138+'POSEBNI DIO'!I142+'POSEBNI DIO'!I157+'POSEBNI DIO'!I170+'POSEBNI DIO'!I175+'POSEBNI DIO'!I180</f>
        <v>657963.43999999994</v>
      </c>
    </row>
    <row r="26" spans="1:9" s="115" customFormat="1" x14ac:dyDescent="0.25">
      <c r="A26" s="165" t="s">
        <v>136</v>
      </c>
      <c r="B26" s="166"/>
      <c r="C26" s="167"/>
      <c r="D26" s="40">
        <v>97.25</v>
      </c>
      <c r="E26" s="40">
        <f>'POSEBNI DIO'!F36+'POSEBNI DIO'!F66+'POSEBNI DIO'!F97+'POSEBNI DIO'!F106</f>
        <v>3995</v>
      </c>
      <c r="F26" s="40">
        <v>5055</v>
      </c>
      <c r="G26" s="40">
        <v>5055</v>
      </c>
      <c r="H26" s="40">
        <v>5055</v>
      </c>
    </row>
    <row r="27" spans="1:9" s="115" customFormat="1" x14ac:dyDescent="0.25">
      <c r="A27" s="165" t="s">
        <v>142</v>
      </c>
      <c r="B27" s="166"/>
      <c r="C27" s="167"/>
      <c r="D27" s="40">
        <v>3511.45</v>
      </c>
      <c r="E27" s="40">
        <f>'POSEBNI DIO'!F39+'POSEBNI DIO'!F70+'POSEBNI DIO'!F99+'POSEBNI DIO'!F108</f>
        <v>3109.19</v>
      </c>
      <c r="F27" s="40">
        <v>4171.99</v>
      </c>
      <c r="G27" s="44"/>
      <c r="H27" s="44"/>
    </row>
    <row r="28" spans="1:9" s="115" customFormat="1" x14ac:dyDescent="0.25">
      <c r="A28" s="165" t="s">
        <v>137</v>
      </c>
      <c r="B28" s="166"/>
      <c r="C28" s="167"/>
      <c r="D28" s="40">
        <v>68457.42</v>
      </c>
      <c r="E28" s="40">
        <f>'POSEBNI DIO'!F42+'POSEBNI DIO'!F73+'POSEBNI DIO'!F101+'POSEBNI DIO'!F110</f>
        <v>90440</v>
      </c>
      <c r="F28" s="40">
        <v>91450</v>
      </c>
      <c r="G28" s="40">
        <v>91450</v>
      </c>
      <c r="H28" s="40">
        <v>91450</v>
      </c>
    </row>
    <row r="29" spans="1:9" s="115" customFormat="1" x14ac:dyDescent="0.25">
      <c r="A29" s="174" t="s">
        <v>143</v>
      </c>
      <c r="B29" s="175"/>
      <c r="C29" s="176"/>
      <c r="D29" s="40">
        <v>7038.04</v>
      </c>
      <c r="E29" s="40">
        <f>'POSEBNI DIO'!F77+'POSEBNI DIO'!F103+'POSEBNI DIO'!F112</f>
        <v>5805.83</v>
      </c>
      <c r="F29" s="40">
        <v>11404.31</v>
      </c>
      <c r="G29" s="44"/>
      <c r="H29" s="44"/>
    </row>
    <row r="30" spans="1:9" s="115" customFormat="1" x14ac:dyDescent="0.25">
      <c r="A30" s="165" t="s">
        <v>167</v>
      </c>
      <c r="B30" s="166"/>
      <c r="C30" s="167"/>
      <c r="D30" s="40"/>
      <c r="E30" s="40"/>
      <c r="F30" s="40">
        <v>79617.490000000005</v>
      </c>
      <c r="G30" s="40">
        <v>79617.490000000005</v>
      </c>
      <c r="H30" s="40">
        <v>79617.490000000005</v>
      </c>
    </row>
    <row r="31" spans="1:9" s="115" customFormat="1" x14ac:dyDescent="0.25">
      <c r="A31" s="165" t="s">
        <v>156</v>
      </c>
      <c r="B31" s="166"/>
      <c r="C31" s="167"/>
      <c r="D31" s="40">
        <v>2919.46</v>
      </c>
      <c r="E31" s="40"/>
      <c r="F31" s="40"/>
      <c r="G31" s="44"/>
      <c r="H31" s="44"/>
    </row>
    <row r="32" spans="1:9" s="115" customFormat="1" x14ac:dyDescent="0.25">
      <c r="A32" s="165" t="s">
        <v>144</v>
      </c>
      <c r="B32" s="166"/>
      <c r="C32" s="167"/>
      <c r="D32" s="40">
        <v>12664.29</v>
      </c>
      <c r="E32" s="40">
        <f>'POSEBNI DIO'!F49</f>
        <v>17353.7</v>
      </c>
      <c r="F32" s="40"/>
      <c r="G32" s="44"/>
      <c r="H32" s="44"/>
    </row>
    <row r="33" spans="1:9" s="115" customFormat="1" x14ac:dyDescent="0.25">
      <c r="A33" s="165" t="s">
        <v>138</v>
      </c>
      <c r="B33" s="166"/>
      <c r="C33" s="167"/>
      <c r="D33" s="40">
        <v>95793.12</v>
      </c>
      <c r="E33" s="40">
        <f>'POSEBNI DIO'!F79+'POSEBNI DIO'!F118+'POSEBNI DIO'!F153+'POSEBNI DIO'!F165+'POSEBNI DIO'!F188</f>
        <v>12208</v>
      </c>
      <c r="F33" s="40">
        <v>132387.07</v>
      </c>
      <c r="G33" s="40">
        <v>132387.07</v>
      </c>
      <c r="H33" s="40">
        <v>132387.07</v>
      </c>
    </row>
    <row r="34" spans="1:9" s="115" customFormat="1" x14ac:dyDescent="0.25">
      <c r="A34" s="165" t="s">
        <v>145</v>
      </c>
      <c r="B34" s="166"/>
      <c r="C34" s="167"/>
      <c r="D34" s="40"/>
      <c r="E34" s="40">
        <f>'POSEBNI DIO'!F81+'POSEBNI DIO'!F120</f>
        <v>4718.59</v>
      </c>
      <c r="F34" s="40">
        <v>1134.77</v>
      </c>
      <c r="G34" s="44"/>
      <c r="H34" s="44"/>
    </row>
    <row r="35" spans="1:9" s="115" customFormat="1" x14ac:dyDescent="0.25">
      <c r="A35" s="165" t="s">
        <v>139</v>
      </c>
      <c r="B35" s="166"/>
      <c r="C35" s="167"/>
      <c r="D35" s="40">
        <v>2739688</v>
      </c>
      <c r="E35" s="40">
        <f>'POSEBNI DIO'!F53+'POSEBNI DIO'!F83+'POSEBNI DIO'!F122+'POSEBNI DIO'!F150+'POSEBNI DIO'!F161</f>
        <v>3500045.98</v>
      </c>
      <c r="F35" s="40">
        <v>4105282.46</v>
      </c>
      <c r="G35" s="40">
        <v>4105282.46</v>
      </c>
      <c r="H35" s="40">
        <v>4105282.46</v>
      </c>
    </row>
    <row r="36" spans="1:9" s="115" customFormat="1" x14ac:dyDescent="0.25">
      <c r="A36" s="165" t="s">
        <v>157</v>
      </c>
      <c r="B36" s="166"/>
      <c r="C36" s="167"/>
      <c r="D36" s="40">
        <v>663.61</v>
      </c>
      <c r="E36" s="40">
        <f>'POSEBNI DIO'!F88</f>
        <v>1587.95</v>
      </c>
      <c r="F36" s="40">
        <v>5226.5</v>
      </c>
      <c r="G36" s="44"/>
      <c r="H36" s="44"/>
    </row>
    <row r="37" spans="1:9" s="115" customFormat="1" x14ac:dyDescent="0.25">
      <c r="A37" s="165" t="s">
        <v>140</v>
      </c>
      <c r="B37" s="166"/>
      <c r="C37" s="167"/>
      <c r="D37" s="40">
        <v>2879.12</v>
      </c>
      <c r="E37" s="40">
        <f>'POSEBNI DIO'!F62+'POSEBNI DIO'!F92+'POSEBNI DIO'!F114</f>
        <v>380</v>
      </c>
      <c r="F37" s="40">
        <v>1350</v>
      </c>
      <c r="G37" s="40">
        <v>1350</v>
      </c>
      <c r="H37" s="40">
        <v>1350</v>
      </c>
    </row>
    <row r="38" spans="1:9" s="115" customFormat="1" x14ac:dyDescent="0.25">
      <c r="A38" s="165" t="s">
        <v>146</v>
      </c>
      <c r="B38" s="166"/>
      <c r="C38" s="167"/>
      <c r="D38" s="40">
        <v>265.45</v>
      </c>
      <c r="E38" s="40">
        <f>'POSEBNI DIO'!F94+'POSEBNI DIO'!F116</f>
        <v>310.93</v>
      </c>
      <c r="F38" s="40">
        <v>670.84</v>
      </c>
      <c r="G38" s="44"/>
      <c r="H38" s="44"/>
    </row>
    <row r="42" spans="1:9" x14ac:dyDescent="0.25">
      <c r="A42" s="37"/>
      <c r="B42" s="37"/>
      <c r="C42" s="38"/>
      <c r="D42" s="38"/>
      <c r="E42" s="106"/>
      <c r="F42" s="106"/>
      <c r="G42" s="106"/>
      <c r="H42" s="106"/>
      <c r="I42" s="106"/>
    </row>
    <row r="43" spans="1:9" ht="15.75" x14ac:dyDescent="0.25">
      <c r="A43" s="145" t="s">
        <v>147</v>
      </c>
      <c r="B43" s="164"/>
      <c r="C43" s="164"/>
      <c r="D43" s="164"/>
      <c r="E43" s="164"/>
      <c r="F43" s="164"/>
      <c r="G43" s="164"/>
      <c r="H43" s="164"/>
    </row>
    <row r="44" spans="1:9" x14ac:dyDescent="0.25">
      <c r="A44" s="37"/>
      <c r="B44" s="37"/>
      <c r="C44" s="38"/>
      <c r="D44" s="38"/>
      <c r="E44" s="39"/>
      <c r="F44" s="39"/>
      <c r="G44" s="39"/>
      <c r="H44" s="35"/>
    </row>
    <row r="45" spans="1:9" ht="25.5" x14ac:dyDescent="0.25">
      <c r="A45" s="14" t="s">
        <v>8</v>
      </c>
      <c r="B45" s="119" t="s">
        <v>9</v>
      </c>
      <c r="C45" s="119" t="s">
        <v>12</v>
      </c>
      <c r="D45" s="14" t="s">
        <v>153</v>
      </c>
      <c r="E45" s="14" t="s">
        <v>124</v>
      </c>
      <c r="F45" s="14" t="s">
        <v>154</v>
      </c>
      <c r="G45" s="14" t="s">
        <v>125</v>
      </c>
      <c r="H45" s="14" t="s">
        <v>155</v>
      </c>
    </row>
    <row r="46" spans="1:9" x14ac:dyDescent="0.25">
      <c r="A46" s="33">
        <v>9</v>
      </c>
      <c r="B46" s="33"/>
      <c r="C46" s="33" t="s">
        <v>77</v>
      </c>
      <c r="D46" s="34"/>
      <c r="E46" s="34"/>
      <c r="F46" s="34"/>
      <c r="G46" s="34"/>
      <c r="H46" s="34"/>
    </row>
    <row r="47" spans="1:9" x14ac:dyDescent="0.25">
      <c r="A47" s="28"/>
      <c r="B47" s="29">
        <v>92</v>
      </c>
      <c r="C47" s="29" t="s">
        <v>131</v>
      </c>
      <c r="D47" s="43">
        <f>SUM(D48:D54)</f>
        <v>7462.29</v>
      </c>
      <c r="E47" s="43">
        <f>SUM(E48:E54)</f>
        <v>18741.009999999998</v>
      </c>
      <c r="F47" s="43">
        <f>SUM(F48:F54)</f>
        <v>47703.4</v>
      </c>
      <c r="G47" s="43">
        <v>0</v>
      </c>
      <c r="H47" s="43">
        <v>0</v>
      </c>
    </row>
    <row r="48" spans="1:9" x14ac:dyDescent="0.25">
      <c r="A48" s="10"/>
      <c r="B48" s="10"/>
      <c r="C48" s="11" t="s">
        <v>135</v>
      </c>
      <c r="D48" s="40">
        <v>1047.18</v>
      </c>
      <c r="E48" s="40">
        <v>13553.65</v>
      </c>
      <c r="F48" s="40">
        <v>27183.37</v>
      </c>
      <c r="G48" s="40"/>
      <c r="H48" s="40"/>
    </row>
    <row r="49" spans="1:9" x14ac:dyDescent="0.25">
      <c r="A49" s="10"/>
      <c r="B49" s="10"/>
      <c r="C49" s="11" t="s">
        <v>140</v>
      </c>
      <c r="D49" s="40">
        <v>53.09</v>
      </c>
      <c r="E49" s="40"/>
      <c r="F49" s="40">
        <v>0</v>
      </c>
      <c r="G49" s="40"/>
      <c r="H49" s="40"/>
    </row>
    <row r="50" spans="1:9" x14ac:dyDescent="0.25">
      <c r="A50" s="10"/>
      <c r="B50" s="10"/>
      <c r="C50" s="11" t="s">
        <v>188</v>
      </c>
      <c r="D50" s="40">
        <v>668.53</v>
      </c>
      <c r="E50" s="40"/>
      <c r="F50" s="40">
        <v>78.08</v>
      </c>
      <c r="G50" s="40"/>
      <c r="H50" s="40"/>
    </row>
    <row r="51" spans="1:9" x14ac:dyDescent="0.25">
      <c r="A51" s="10"/>
      <c r="B51" s="10"/>
      <c r="C51" s="11" t="s">
        <v>189</v>
      </c>
      <c r="D51" s="40">
        <v>3788.35</v>
      </c>
      <c r="E51" s="40"/>
      <c r="F51" s="40">
        <v>0</v>
      </c>
      <c r="G51" s="40"/>
      <c r="H51" s="40"/>
    </row>
    <row r="52" spans="1:9" x14ac:dyDescent="0.25">
      <c r="A52" s="10"/>
      <c r="B52" s="10"/>
      <c r="C52" s="11" t="s">
        <v>139</v>
      </c>
      <c r="D52" s="40">
        <v>77.78</v>
      </c>
      <c r="E52" s="40"/>
      <c r="F52" s="40">
        <v>18880.55</v>
      </c>
      <c r="G52" s="40"/>
      <c r="H52" s="40"/>
    </row>
    <row r="53" spans="1:9" x14ac:dyDescent="0.25">
      <c r="A53" s="10"/>
      <c r="B53" s="10"/>
      <c r="C53" s="11" t="s">
        <v>159</v>
      </c>
      <c r="D53" s="40">
        <v>87.02</v>
      </c>
      <c r="E53" s="40"/>
      <c r="F53" s="40"/>
      <c r="G53" s="40"/>
      <c r="H53" s="40"/>
    </row>
    <row r="54" spans="1:9" x14ac:dyDescent="0.25">
      <c r="A54" s="10"/>
      <c r="B54" s="10"/>
      <c r="C54" s="11" t="s">
        <v>160</v>
      </c>
      <c r="D54" s="40">
        <v>1740.34</v>
      </c>
      <c r="E54" s="40">
        <v>5187.3599999999997</v>
      </c>
      <c r="F54" s="40">
        <v>1561.4</v>
      </c>
      <c r="G54" s="8"/>
      <c r="H54" s="8"/>
    </row>
    <row r="55" spans="1:9" x14ac:dyDescent="0.25">
      <c r="A55" s="37"/>
      <c r="B55" s="37"/>
      <c r="C55" s="38"/>
      <c r="D55" s="38"/>
      <c r="E55" s="106"/>
      <c r="F55" s="106"/>
      <c r="G55" s="106"/>
      <c r="H55" s="106"/>
      <c r="I55" s="106"/>
    </row>
    <row r="56" spans="1:9" x14ac:dyDescent="0.25">
      <c r="A56" s="37"/>
      <c r="B56" s="37"/>
      <c r="C56" s="38"/>
      <c r="D56" s="38"/>
      <c r="E56" s="106"/>
      <c r="F56" s="106"/>
      <c r="G56" s="106"/>
      <c r="H56" s="106"/>
      <c r="I56" s="106"/>
    </row>
    <row r="57" spans="1:9" x14ac:dyDescent="0.25">
      <c r="A57" s="37"/>
      <c r="B57" s="37"/>
      <c r="C57" s="38"/>
      <c r="D57" s="38"/>
      <c r="E57" s="39"/>
      <c r="F57" s="39"/>
      <c r="G57" s="39"/>
      <c r="H57" s="39"/>
      <c r="I57" s="39"/>
    </row>
    <row r="58" spans="1:9" ht="15.75" x14ac:dyDescent="0.25">
      <c r="A58" s="145" t="s">
        <v>80</v>
      </c>
      <c r="B58" s="164"/>
      <c r="C58" s="164"/>
      <c r="D58" s="164"/>
      <c r="E58" s="164"/>
      <c r="F58" s="164"/>
      <c r="G58" s="164"/>
      <c r="H58" s="164"/>
      <c r="I58" s="164"/>
    </row>
    <row r="59" spans="1:9" x14ac:dyDescent="0.25">
      <c r="A59" s="37"/>
      <c r="B59" s="37"/>
      <c r="C59" s="38"/>
      <c r="D59" s="38"/>
      <c r="E59" s="39"/>
      <c r="F59" s="39"/>
      <c r="G59" s="39"/>
      <c r="H59" s="39"/>
      <c r="I59" s="35"/>
    </row>
    <row r="60" spans="1:9" ht="25.5" x14ac:dyDescent="0.25">
      <c r="A60" s="14" t="s">
        <v>8</v>
      </c>
      <c r="B60" s="119" t="s">
        <v>9</v>
      </c>
      <c r="C60" s="119" t="s">
        <v>12</v>
      </c>
      <c r="D60" s="14" t="s">
        <v>153</v>
      </c>
      <c r="E60" s="14" t="s">
        <v>124</v>
      </c>
      <c r="F60" s="14" t="s">
        <v>154</v>
      </c>
      <c r="G60" s="14" t="s">
        <v>125</v>
      </c>
      <c r="H60" s="14" t="s">
        <v>155</v>
      </c>
    </row>
    <row r="61" spans="1:9" x14ac:dyDescent="0.25">
      <c r="A61" s="33">
        <v>9</v>
      </c>
      <c r="B61" s="33"/>
      <c r="C61" s="33" t="s">
        <v>77</v>
      </c>
      <c r="D61" s="34"/>
      <c r="E61" s="34"/>
      <c r="F61" s="34"/>
      <c r="G61" s="34"/>
      <c r="H61" s="34"/>
    </row>
    <row r="62" spans="1:9" x14ac:dyDescent="0.25">
      <c r="A62" s="28"/>
      <c r="B62" s="29">
        <v>92</v>
      </c>
      <c r="C62" s="29" t="s">
        <v>78</v>
      </c>
      <c r="D62" s="43">
        <f>SUM(D63:D68)</f>
        <v>28861.43</v>
      </c>
      <c r="E62" s="43">
        <f>SUM(E63:E68)</f>
        <v>32886.19</v>
      </c>
      <c r="F62" s="43">
        <f>SUM(F63:F68)</f>
        <v>22608.41</v>
      </c>
      <c r="G62" s="43">
        <v>0</v>
      </c>
      <c r="H62" s="43">
        <v>0</v>
      </c>
    </row>
    <row r="63" spans="1:9" x14ac:dyDescent="0.25">
      <c r="A63" s="10"/>
      <c r="B63" s="10"/>
      <c r="C63" s="11" t="s">
        <v>161</v>
      </c>
      <c r="D63" s="40">
        <v>3511.45</v>
      </c>
      <c r="E63" s="40">
        <v>3109.19</v>
      </c>
      <c r="F63" s="40">
        <v>4171.99</v>
      </c>
      <c r="G63" s="40"/>
      <c r="H63" s="40"/>
    </row>
    <row r="64" spans="1:9" x14ac:dyDescent="0.25">
      <c r="A64" s="10"/>
      <c r="B64" s="10"/>
      <c r="C64" s="11" t="s">
        <v>162</v>
      </c>
      <c r="D64" s="40">
        <v>7038.04</v>
      </c>
      <c r="E64" s="40">
        <v>5805.83</v>
      </c>
      <c r="F64" s="40">
        <v>11404.31</v>
      </c>
      <c r="G64" s="40"/>
      <c r="H64" s="40"/>
    </row>
    <row r="65" spans="1:8" x14ac:dyDescent="0.25">
      <c r="A65" s="10"/>
      <c r="B65" s="10"/>
      <c r="C65" s="11" t="s">
        <v>163</v>
      </c>
      <c r="D65" s="40">
        <v>12664.29</v>
      </c>
      <c r="E65" s="40">
        <v>17353.7</v>
      </c>
      <c r="F65" s="40">
        <v>0</v>
      </c>
      <c r="G65" s="40"/>
      <c r="H65" s="40"/>
    </row>
    <row r="66" spans="1:8" x14ac:dyDescent="0.25">
      <c r="A66" s="10"/>
      <c r="B66" s="10"/>
      <c r="C66" s="11" t="s">
        <v>164</v>
      </c>
      <c r="D66" s="40">
        <v>4718.59</v>
      </c>
      <c r="E66" s="40">
        <v>4718.59</v>
      </c>
      <c r="F66" s="40">
        <v>1134.77</v>
      </c>
      <c r="G66" s="40"/>
      <c r="H66" s="40"/>
    </row>
    <row r="67" spans="1:8" x14ac:dyDescent="0.25">
      <c r="A67" s="10"/>
      <c r="B67" s="10"/>
      <c r="C67" s="11" t="s">
        <v>165</v>
      </c>
      <c r="D67" s="40">
        <v>663.61</v>
      </c>
      <c r="E67" s="40">
        <v>1587.95</v>
      </c>
      <c r="F67" s="40">
        <v>5226.5</v>
      </c>
      <c r="G67" s="40"/>
      <c r="H67" s="40"/>
    </row>
    <row r="68" spans="1:8" x14ac:dyDescent="0.25">
      <c r="A68" s="10"/>
      <c r="B68" s="10"/>
      <c r="C68" s="11" t="s">
        <v>166</v>
      </c>
      <c r="D68" s="40">
        <v>265.45</v>
      </c>
      <c r="E68" s="40">
        <v>310.93</v>
      </c>
      <c r="F68" s="40">
        <v>670.84</v>
      </c>
      <c r="G68" s="40"/>
      <c r="H68" s="40"/>
    </row>
    <row r="69" spans="1:8" x14ac:dyDescent="0.25">
      <c r="A69" s="10"/>
      <c r="B69" s="10"/>
      <c r="C69" s="11"/>
      <c r="D69" s="8"/>
      <c r="E69" s="8"/>
      <c r="F69" s="8"/>
      <c r="G69" s="8"/>
      <c r="H69" s="8"/>
    </row>
  </sheetData>
  <mergeCells count="33">
    <mergeCell ref="A15:C15"/>
    <mergeCell ref="A31:C31"/>
    <mergeCell ref="A1:H1"/>
    <mergeCell ref="A16:C16"/>
    <mergeCell ref="A17:C17"/>
    <mergeCell ref="A28:C28"/>
    <mergeCell ref="A29:C29"/>
    <mergeCell ref="A9:C9"/>
    <mergeCell ref="A10:C10"/>
    <mergeCell ref="A11:C11"/>
    <mergeCell ref="A12:C12"/>
    <mergeCell ref="A13:C13"/>
    <mergeCell ref="A33:C33"/>
    <mergeCell ref="A34:C34"/>
    <mergeCell ref="A32:C32"/>
    <mergeCell ref="A27:C27"/>
    <mergeCell ref="A18:C18"/>
    <mergeCell ref="A43:H43"/>
    <mergeCell ref="A58:I58"/>
    <mergeCell ref="A30:C30"/>
    <mergeCell ref="A14:C14"/>
    <mergeCell ref="A3:H3"/>
    <mergeCell ref="A5:H5"/>
    <mergeCell ref="A7:H7"/>
    <mergeCell ref="A35:C35"/>
    <mergeCell ref="A21:H21"/>
    <mergeCell ref="A23:C23"/>
    <mergeCell ref="A24:C24"/>
    <mergeCell ref="A25:C25"/>
    <mergeCell ref="A26:C26"/>
    <mergeCell ref="A36:C36"/>
    <mergeCell ref="A37:C37"/>
    <mergeCell ref="A38:C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="120" zoomScaleNormal="120" workbookViewId="0">
      <selection activeCell="D13" sqref="D13"/>
    </sheetView>
  </sheetViews>
  <sheetFormatPr defaultRowHeight="15" x14ac:dyDescent="0.25"/>
  <cols>
    <col min="1" max="1" width="37.7109375" customWidth="1"/>
    <col min="2" max="2" width="25.7109375" customWidth="1"/>
    <col min="3" max="6" width="25.28515625" customWidth="1"/>
  </cols>
  <sheetData>
    <row r="1" spans="1:11" ht="42" customHeight="1" x14ac:dyDescent="0.25">
      <c r="A1" s="145" t="s">
        <v>152</v>
      </c>
      <c r="B1" s="145"/>
      <c r="C1" s="145"/>
      <c r="D1" s="145"/>
      <c r="E1" s="145"/>
      <c r="F1" s="145"/>
      <c r="G1" s="128"/>
      <c r="H1" s="128"/>
      <c r="I1" s="128"/>
      <c r="J1" s="128"/>
      <c r="K1" s="128"/>
    </row>
    <row r="2" spans="1:11" ht="18" customHeight="1" x14ac:dyDescent="0.25">
      <c r="A2" s="4"/>
      <c r="B2" s="18"/>
      <c r="C2" s="4"/>
      <c r="D2" s="18"/>
      <c r="E2" s="4"/>
      <c r="F2" s="4"/>
    </row>
    <row r="3" spans="1:11" ht="15.75" x14ac:dyDescent="0.25">
      <c r="A3" s="145" t="s">
        <v>20</v>
      </c>
      <c r="B3" s="145"/>
      <c r="C3" s="145"/>
      <c r="D3" s="145"/>
      <c r="E3" s="158"/>
      <c r="F3" s="158"/>
    </row>
    <row r="4" spans="1:11" ht="17.45" x14ac:dyDescent="0.3">
      <c r="A4" s="4"/>
      <c r="B4" s="18"/>
      <c r="C4" s="4"/>
      <c r="D4" s="18"/>
      <c r="E4" s="5"/>
      <c r="F4" s="5"/>
    </row>
    <row r="5" spans="1:11" ht="18" customHeight="1" x14ac:dyDescent="0.25">
      <c r="A5" s="145" t="s">
        <v>7</v>
      </c>
      <c r="B5" s="145"/>
      <c r="C5" s="146"/>
      <c r="D5" s="146"/>
      <c r="E5" s="146"/>
      <c r="F5" s="146"/>
    </row>
    <row r="6" spans="1:11" ht="17.45" x14ac:dyDescent="0.3">
      <c r="A6" s="4"/>
      <c r="B6" s="18"/>
      <c r="C6" s="4"/>
      <c r="D6" s="18"/>
      <c r="E6" s="5"/>
      <c r="F6" s="5"/>
    </row>
    <row r="7" spans="1:11" ht="15.6" x14ac:dyDescent="0.3">
      <c r="A7" s="145" t="s">
        <v>16</v>
      </c>
      <c r="B7" s="145"/>
      <c r="C7" s="164"/>
      <c r="D7" s="164"/>
      <c r="E7" s="164"/>
      <c r="F7" s="164"/>
    </row>
    <row r="8" spans="1:11" ht="17.45" x14ac:dyDescent="0.3">
      <c r="A8" s="4"/>
      <c r="B8" s="18"/>
      <c r="C8" s="4"/>
      <c r="D8" s="18"/>
      <c r="E8" s="5"/>
      <c r="F8" s="35"/>
    </row>
    <row r="9" spans="1:11" ht="25.5" x14ac:dyDescent="0.25">
      <c r="A9" s="14" t="s">
        <v>17</v>
      </c>
      <c r="B9" s="14" t="s">
        <v>153</v>
      </c>
      <c r="C9" s="14" t="s">
        <v>149</v>
      </c>
      <c r="D9" s="14" t="s">
        <v>154</v>
      </c>
      <c r="E9" s="14" t="s">
        <v>125</v>
      </c>
      <c r="F9" s="14" t="s">
        <v>155</v>
      </c>
    </row>
    <row r="10" spans="1:11" ht="15.75" customHeight="1" x14ac:dyDescent="0.3">
      <c r="A10" s="9" t="s">
        <v>18</v>
      </c>
      <c r="B10" s="69">
        <f>B11</f>
        <v>3382423.57</v>
      </c>
      <c r="C10" s="69">
        <f>C11</f>
        <v>4378916.34</v>
      </c>
      <c r="D10" s="69">
        <f>D11</f>
        <v>5095713.87</v>
      </c>
      <c r="E10" s="69">
        <f t="shared" ref="E10:F10" si="0">E11</f>
        <v>5073105.46</v>
      </c>
      <c r="F10" s="69">
        <f t="shared" si="0"/>
        <v>5073105.46</v>
      </c>
    </row>
    <row r="11" spans="1:11" ht="15.75" customHeight="1" x14ac:dyDescent="0.3">
      <c r="A11" s="9" t="s">
        <v>37</v>
      </c>
      <c r="B11" s="68">
        <f>B12+B13</f>
        <v>3382423.57</v>
      </c>
      <c r="C11" s="68">
        <f>C12+C13</f>
        <v>4378916.34</v>
      </c>
      <c r="D11" s="68">
        <f>D12+D13</f>
        <v>5095713.87</v>
      </c>
      <c r="E11" s="68">
        <f>E12+E13</f>
        <v>5073105.46</v>
      </c>
      <c r="F11" s="68">
        <f>F12+F13</f>
        <v>5073105.46</v>
      </c>
    </row>
    <row r="12" spans="1:11" ht="14.45" x14ac:dyDescent="0.3">
      <c r="A12" s="12" t="s">
        <v>38</v>
      </c>
      <c r="B12" s="94">
        <v>3113807.32</v>
      </c>
      <c r="C12" s="68">
        <f>4378916.34-C13</f>
        <v>4038716.34</v>
      </c>
      <c r="D12" s="68">
        <f>5095713.87-D13</f>
        <v>4789513.87</v>
      </c>
      <c r="E12" s="68">
        <f>5073105.46-E13</f>
        <v>4766905.46</v>
      </c>
      <c r="F12" s="68">
        <f>5073105.46-F13</f>
        <v>4766905.46</v>
      </c>
    </row>
    <row r="13" spans="1:11" ht="14.45" x14ac:dyDescent="0.3">
      <c r="A13" s="9" t="s">
        <v>39</v>
      </c>
      <c r="B13" s="95">
        <v>268616.25</v>
      </c>
      <c r="C13" s="68">
        <v>340200</v>
      </c>
      <c r="D13" s="68">
        <f>16200+45000+245000</f>
        <v>306200</v>
      </c>
      <c r="E13" s="68">
        <f t="shared" ref="E13:F13" si="1">16200+45000+245000</f>
        <v>306200</v>
      </c>
      <c r="F13" s="68">
        <f t="shared" si="1"/>
        <v>306200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zoomScaleNormal="100" workbookViewId="0">
      <selection activeCell="G75" sqref="G7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9" width="25.28515625" customWidth="1"/>
    <col min="13" max="13" width="9.42578125" customWidth="1"/>
  </cols>
  <sheetData>
    <row r="1" spans="1:11" ht="42" customHeight="1" x14ac:dyDescent="0.25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J1" s="128"/>
      <c r="K1" s="128"/>
    </row>
    <row r="2" spans="1:11" ht="18" x14ac:dyDescent="0.25">
      <c r="A2" s="4"/>
      <c r="B2" s="4"/>
      <c r="C2" s="4"/>
      <c r="D2" s="4"/>
      <c r="E2" s="18"/>
      <c r="F2" s="4"/>
      <c r="G2" s="18"/>
      <c r="H2" s="5"/>
      <c r="I2" s="5"/>
    </row>
    <row r="3" spans="1:11" ht="18" customHeight="1" x14ac:dyDescent="0.3">
      <c r="A3" s="145" t="s">
        <v>19</v>
      </c>
      <c r="B3" s="146"/>
      <c r="C3" s="146"/>
      <c r="D3" s="146"/>
      <c r="E3" s="146"/>
      <c r="F3" s="146"/>
      <c r="G3" s="146"/>
      <c r="H3" s="146"/>
      <c r="I3" s="146"/>
    </row>
    <row r="4" spans="1:11" ht="17.45" x14ac:dyDescent="0.3">
      <c r="A4" s="4"/>
      <c r="B4" s="4"/>
      <c r="C4" s="35" t="s">
        <v>43</v>
      </c>
      <c r="D4" s="4"/>
      <c r="E4" s="46">
        <f>E6+E126</f>
        <v>3382423.57</v>
      </c>
      <c r="F4" s="46">
        <f>F6+F126</f>
        <v>4378916.34</v>
      </c>
      <c r="G4" s="46">
        <f>G6+G126</f>
        <v>5095713.87</v>
      </c>
      <c r="H4" s="46">
        <f>H6+H126</f>
        <v>5073105.4600000009</v>
      </c>
      <c r="I4" s="46">
        <f>I6+I126</f>
        <v>5073105.4600000009</v>
      </c>
    </row>
    <row r="5" spans="1:11" ht="25.5" x14ac:dyDescent="0.25">
      <c r="A5" s="168" t="s">
        <v>21</v>
      </c>
      <c r="B5" s="198"/>
      <c r="C5" s="199"/>
      <c r="D5" s="13" t="s">
        <v>22</v>
      </c>
      <c r="E5" s="14" t="s">
        <v>153</v>
      </c>
      <c r="F5" s="14" t="s">
        <v>149</v>
      </c>
      <c r="G5" s="14" t="s">
        <v>154</v>
      </c>
      <c r="H5" s="14" t="s">
        <v>125</v>
      </c>
      <c r="I5" s="14" t="s">
        <v>155</v>
      </c>
    </row>
    <row r="6" spans="1:11" ht="37.15" customHeight="1" x14ac:dyDescent="0.25">
      <c r="A6" s="195" t="s">
        <v>108</v>
      </c>
      <c r="B6" s="196"/>
      <c r="C6" s="197"/>
      <c r="D6" s="67" t="s">
        <v>109</v>
      </c>
      <c r="E6" s="56">
        <f t="shared" ref="E6:F6" si="0">E7+E11+E15+E19+E35+E65+E96+E105+E23+E31</f>
        <v>3040624.1999999997</v>
      </c>
      <c r="F6" s="56">
        <f t="shared" si="0"/>
        <v>3929546.34</v>
      </c>
      <c r="G6" s="56">
        <f>G7+G11+G15+G19+G35+G65+G96+G105+G23+G31+G27</f>
        <v>4570813.87</v>
      </c>
      <c r="H6" s="56">
        <f t="shared" ref="H6:I6" si="1">H7+H11+H15+H19+H35+H65+H96+H105+H23+H31+H27</f>
        <v>4548205.4600000009</v>
      </c>
      <c r="I6" s="56">
        <f t="shared" si="1"/>
        <v>4548205.4600000009</v>
      </c>
    </row>
    <row r="7" spans="1:11" ht="24.95" customHeight="1" x14ac:dyDescent="0.25">
      <c r="A7" s="189" t="s">
        <v>46</v>
      </c>
      <c r="B7" s="190"/>
      <c r="C7" s="191"/>
      <c r="D7" s="48" t="s">
        <v>168</v>
      </c>
      <c r="E7" s="54">
        <f>E9</f>
        <v>172139.24</v>
      </c>
      <c r="F7" s="54">
        <f>F9</f>
        <v>194701.35</v>
      </c>
      <c r="G7" s="54">
        <f>G9</f>
        <v>131055</v>
      </c>
      <c r="H7" s="54">
        <f t="shared" ref="H7:I7" si="2">H9</f>
        <v>131055</v>
      </c>
      <c r="I7" s="54">
        <f t="shared" si="2"/>
        <v>131055</v>
      </c>
    </row>
    <row r="8" spans="1:11" s="61" customFormat="1" ht="24.95" customHeight="1" x14ac:dyDescent="0.2">
      <c r="A8" s="180" t="s">
        <v>72</v>
      </c>
      <c r="B8" s="181"/>
      <c r="C8" s="182"/>
      <c r="D8" s="59" t="s">
        <v>11</v>
      </c>
      <c r="E8" s="60">
        <f t="shared" ref="E8:G9" si="3">E9</f>
        <v>172139.24</v>
      </c>
      <c r="F8" s="60">
        <f t="shared" si="3"/>
        <v>194701.35</v>
      </c>
      <c r="G8" s="60">
        <f t="shared" si="3"/>
        <v>131055</v>
      </c>
      <c r="H8" s="60">
        <f t="shared" ref="H8:I9" si="4">H9</f>
        <v>131055</v>
      </c>
      <c r="I8" s="60">
        <f t="shared" si="4"/>
        <v>131055</v>
      </c>
    </row>
    <row r="9" spans="1:11" ht="24.95" customHeight="1" x14ac:dyDescent="0.3">
      <c r="A9" s="186">
        <v>3</v>
      </c>
      <c r="B9" s="187"/>
      <c r="C9" s="188"/>
      <c r="D9" s="19" t="s">
        <v>13</v>
      </c>
      <c r="E9" s="41">
        <f t="shared" si="3"/>
        <v>172139.24</v>
      </c>
      <c r="F9" s="41">
        <f t="shared" si="3"/>
        <v>194701.35</v>
      </c>
      <c r="G9" s="41">
        <f t="shared" si="3"/>
        <v>131055</v>
      </c>
      <c r="H9" s="41">
        <f t="shared" si="4"/>
        <v>131055</v>
      </c>
      <c r="I9" s="41">
        <f t="shared" si="4"/>
        <v>131055</v>
      </c>
    </row>
    <row r="10" spans="1:11" ht="24.95" customHeight="1" x14ac:dyDescent="0.3">
      <c r="A10" s="183">
        <v>32</v>
      </c>
      <c r="B10" s="184"/>
      <c r="C10" s="185"/>
      <c r="D10" s="19" t="s">
        <v>23</v>
      </c>
      <c r="E10" s="41">
        <v>172139.24</v>
      </c>
      <c r="F10" s="41">
        <f>71303.18+74500+800+15000+8000+5000+398.17+13300+4400+2000</f>
        <v>194701.35</v>
      </c>
      <c r="G10" s="41">
        <f>8080+700+20500+30000+1000+100+375+4400+19700+500+15000+10000+2300+5300+8500+3400+100+100+1000</f>
        <v>131055</v>
      </c>
      <c r="H10" s="41">
        <f>G10</f>
        <v>131055</v>
      </c>
      <c r="I10" s="42">
        <f>G10</f>
        <v>131055</v>
      </c>
    </row>
    <row r="11" spans="1:11" ht="24.95" customHeight="1" x14ac:dyDescent="0.25">
      <c r="A11" s="189" t="s">
        <v>47</v>
      </c>
      <c r="B11" s="190"/>
      <c r="C11" s="191"/>
      <c r="D11" s="48" t="s">
        <v>169</v>
      </c>
      <c r="E11" s="54">
        <f>E13</f>
        <v>793.05</v>
      </c>
      <c r="F11" s="54">
        <f>F13</f>
        <v>689.82</v>
      </c>
      <c r="G11" s="54">
        <f>G13</f>
        <v>45</v>
      </c>
      <c r="H11" s="54">
        <f t="shared" ref="H11:I11" si="5">H13</f>
        <v>45</v>
      </c>
      <c r="I11" s="54">
        <f t="shared" si="5"/>
        <v>45</v>
      </c>
    </row>
    <row r="12" spans="1:11" s="63" customFormat="1" ht="24.95" customHeight="1" x14ac:dyDescent="0.25">
      <c r="A12" s="180" t="s">
        <v>72</v>
      </c>
      <c r="B12" s="181"/>
      <c r="C12" s="182"/>
      <c r="D12" s="59" t="s">
        <v>11</v>
      </c>
      <c r="E12" s="60">
        <f t="shared" ref="E12:G13" si="6">E13</f>
        <v>793.05</v>
      </c>
      <c r="F12" s="60">
        <f t="shared" si="6"/>
        <v>689.82</v>
      </c>
      <c r="G12" s="60">
        <f t="shared" si="6"/>
        <v>45</v>
      </c>
      <c r="H12" s="60">
        <f t="shared" ref="H12:I13" si="7">H13</f>
        <v>45</v>
      </c>
      <c r="I12" s="60">
        <f t="shared" si="7"/>
        <v>45</v>
      </c>
    </row>
    <row r="13" spans="1:11" ht="24.95" customHeight="1" x14ac:dyDescent="0.3">
      <c r="A13" s="186">
        <v>3</v>
      </c>
      <c r="B13" s="187"/>
      <c r="C13" s="188"/>
      <c r="D13" s="26" t="s">
        <v>13</v>
      </c>
      <c r="E13" s="41">
        <f t="shared" si="6"/>
        <v>793.05</v>
      </c>
      <c r="F13" s="41">
        <f t="shared" si="6"/>
        <v>689.82</v>
      </c>
      <c r="G13" s="41">
        <f t="shared" si="6"/>
        <v>45</v>
      </c>
      <c r="H13" s="41">
        <f t="shared" si="7"/>
        <v>45</v>
      </c>
      <c r="I13" s="41">
        <f t="shared" si="7"/>
        <v>45</v>
      </c>
    </row>
    <row r="14" spans="1:11" ht="24.95" customHeight="1" x14ac:dyDescent="0.25">
      <c r="A14" s="183">
        <v>34</v>
      </c>
      <c r="B14" s="184"/>
      <c r="C14" s="185"/>
      <c r="D14" s="26" t="s">
        <v>48</v>
      </c>
      <c r="E14" s="41">
        <v>793.05</v>
      </c>
      <c r="F14" s="41">
        <f>689.82</f>
        <v>689.82</v>
      </c>
      <c r="G14" s="41">
        <f>45</f>
        <v>45</v>
      </c>
      <c r="H14" s="41">
        <f>G14</f>
        <v>45</v>
      </c>
      <c r="I14" s="42">
        <f>G14</f>
        <v>45</v>
      </c>
    </row>
    <row r="15" spans="1:11" ht="24.95" customHeight="1" x14ac:dyDescent="0.25">
      <c r="A15" s="189" t="s">
        <v>49</v>
      </c>
      <c r="B15" s="190"/>
      <c r="C15" s="191"/>
      <c r="D15" s="48" t="s">
        <v>171</v>
      </c>
      <c r="E15" s="54">
        <f>E17</f>
        <v>10240.969999999999</v>
      </c>
      <c r="F15" s="54">
        <f>F17</f>
        <v>40800</v>
      </c>
      <c r="G15" s="54">
        <f>G17</f>
        <v>11800</v>
      </c>
      <c r="H15" s="54">
        <f t="shared" ref="H15:I15" si="8">H17</f>
        <v>11800</v>
      </c>
      <c r="I15" s="54">
        <f t="shared" si="8"/>
        <v>11800</v>
      </c>
    </row>
    <row r="16" spans="1:11" s="63" customFormat="1" ht="24.95" customHeight="1" x14ac:dyDescent="0.25">
      <c r="A16" s="180" t="s">
        <v>170</v>
      </c>
      <c r="B16" s="181"/>
      <c r="C16" s="182"/>
      <c r="D16" s="59" t="s">
        <v>172</v>
      </c>
      <c r="E16" s="60">
        <f t="shared" ref="E16:G17" si="9">E17</f>
        <v>10240.969999999999</v>
      </c>
      <c r="F16" s="60">
        <f t="shared" si="9"/>
        <v>40800</v>
      </c>
      <c r="G16" s="60">
        <f t="shared" si="9"/>
        <v>11800</v>
      </c>
      <c r="H16" s="60">
        <f t="shared" ref="H16:I17" si="10">H17</f>
        <v>11800</v>
      </c>
      <c r="I16" s="60">
        <f t="shared" si="10"/>
        <v>11800</v>
      </c>
    </row>
    <row r="17" spans="1:9" ht="24.95" customHeight="1" x14ac:dyDescent="0.25">
      <c r="A17" s="186">
        <v>4</v>
      </c>
      <c r="B17" s="187"/>
      <c r="C17" s="188"/>
      <c r="D17" s="26" t="s">
        <v>15</v>
      </c>
      <c r="E17" s="41">
        <f t="shared" si="9"/>
        <v>10240.969999999999</v>
      </c>
      <c r="F17" s="41">
        <f t="shared" si="9"/>
        <v>40800</v>
      </c>
      <c r="G17" s="41">
        <f t="shared" si="9"/>
        <v>11800</v>
      </c>
      <c r="H17" s="41">
        <f t="shared" si="10"/>
        <v>11800</v>
      </c>
      <c r="I17" s="41">
        <f t="shared" si="10"/>
        <v>11800</v>
      </c>
    </row>
    <row r="18" spans="1:9" ht="24.95" customHeight="1" x14ac:dyDescent="0.25">
      <c r="A18" s="183">
        <v>42</v>
      </c>
      <c r="B18" s="184"/>
      <c r="C18" s="185"/>
      <c r="D18" s="26" t="s">
        <v>29</v>
      </c>
      <c r="E18" s="41">
        <v>10240.969999999999</v>
      </c>
      <c r="F18" s="41">
        <f>40300+500</f>
        <v>40800</v>
      </c>
      <c r="G18" s="41">
        <f>500+1300+10000</f>
        <v>11800</v>
      </c>
      <c r="H18" s="41">
        <f>G18</f>
        <v>11800</v>
      </c>
      <c r="I18" s="42">
        <f>G18</f>
        <v>11800</v>
      </c>
    </row>
    <row r="19" spans="1:9" ht="32.450000000000003" customHeight="1" x14ac:dyDescent="0.25">
      <c r="A19" s="189" t="s">
        <v>50</v>
      </c>
      <c r="B19" s="190"/>
      <c r="C19" s="191"/>
      <c r="D19" s="48" t="s">
        <v>173</v>
      </c>
      <c r="E19" s="54">
        <f>E21</f>
        <v>34802.5</v>
      </c>
      <c r="F19" s="54">
        <f>F21</f>
        <v>60000</v>
      </c>
      <c r="G19" s="54">
        <f>G21</f>
        <v>45200</v>
      </c>
      <c r="H19" s="54">
        <f t="shared" ref="H19:I19" si="11">H21</f>
        <v>45200</v>
      </c>
      <c r="I19" s="54">
        <f t="shared" si="11"/>
        <v>45200</v>
      </c>
    </row>
    <row r="20" spans="1:9" s="63" customFormat="1" ht="24.95" customHeight="1" x14ac:dyDescent="0.25">
      <c r="A20" s="180" t="s">
        <v>170</v>
      </c>
      <c r="B20" s="181"/>
      <c r="C20" s="182"/>
      <c r="D20" s="120" t="s">
        <v>172</v>
      </c>
      <c r="E20" s="60">
        <f t="shared" ref="E20:G21" si="12">E21</f>
        <v>34802.5</v>
      </c>
      <c r="F20" s="60">
        <f t="shared" si="12"/>
        <v>60000</v>
      </c>
      <c r="G20" s="60">
        <f t="shared" si="12"/>
        <v>45200</v>
      </c>
      <c r="H20" s="60">
        <f t="shared" ref="H20:I21" si="13">H21</f>
        <v>45200</v>
      </c>
      <c r="I20" s="60">
        <f t="shared" si="13"/>
        <v>45200</v>
      </c>
    </row>
    <row r="21" spans="1:9" ht="24.95" customHeight="1" x14ac:dyDescent="0.25">
      <c r="A21" s="186">
        <v>4</v>
      </c>
      <c r="B21" s="187"/>
      <c r="C21" s="188"/>
      <c r="D21" s="26" t="s">
        <v>15</v>
      </c>
      <c r="E21" s="41">
        <f t="shared" si="12"/>
        <v>34802.5</v>
      </c>
      <c r="F21" s="41">
        <f t="shared" si="12"/>
        <v>60000</v>
      </c>
      <c r="G21" s="41">
        <f t="shared" si="12"/>
        <v>45200</v>
      </c>
      <c r="H21" s="41">
        <f t="shared" si="13"/>
        <v>45200</v>
      </c>
      <c r="I21" s="41">
        <f t="shared" si="13"/>
        <v>45200</v>
      </c>
    </row>
    <row r="22" spans="1:9" ht="24.95" customHeight="1" x14ac:dyDescent="0.25">
      <c r="A22" s="183">
        <v>45</v>
      </c>
      <c r="B22" s="184"/>
      <c r="C22" s="185"/>
      <c r="D22" s="36" t="s">
        <v>35</v>
      </c>
      <c r="E22" s="41">
        <v>34802.5</v>
      </c>
      <c r="F22" s="41">
        <f>33000+27000</f>
        <v>60000</v>
      </c>
      <c r="G22" s="41">
        <f>45200</f>
        <v>45200</v>
      </c>
      <c r="H22" s="41">
        <f>G22</f>
        <v>45200</v>
      </c>
      <c r="I22" s="42">
        <f>G22</f>
        <v>45200</v>
      </c>
    </row>
    <row r="23" spans="1:9" ht="31.15" customHeight="1" x14ac:dyDescent="0.25">
      <c r="A23" s="189" t="s">
        <v>174</v>
      </c>
      <c r="B23" s="190"/>
      <c r="C23" s="191"/>
      <c r="D23" s="121" t="s">
        <v>175</v>
      </c>
      <c r="E23" s="54">
        <f>E25</f>
        <v>0</v>
      </c>
      <c r="F23" s="54">
        <f>F25</f>
        <v>0</v>
      </c>
      <c r="G23" s="54">
        <f>G25</f>
        <v>70780</v>
      </c>
      <c r="H23" s="54">
        <f t="shared" ref="H23:I23" si="14">H25</f>
        <v>70780</v>
      </c>
      <c r="I23" s="54">
        <f t="shared" si="14"/>
        <v>70780</v>
      </c>
    </row>
    <row r="24" spans="1:9" s="61" customFormat="1" ht="24.95" customHeight="1" x14ac:dyDescent="0.2">
      <c r="A24" s="180" t="s">
        <v>72</v>
      </c>
      <c r="B24" s="181"/>
      <c r="C24" s="182"/>
      <c r="D24" s="120" t="s">
        <v>11</v>
      </c>
      <c r="E24" s="60">
        <f t="shared" ref="E24:E25" si="15">E25</f>
        <v>0</v>
      </c>
      <c r="F24" s="60">
        <f t="shared" ref="F24:F25" si="16">F25</f>
        <v>0</v>
      </c>
      <c r="G24" s="60">
        <f t="shared" ref="G24:I25" si="17">G25</f>
        <v>70780</v>
      </c>
      <c r="H24" s="60">
        <f t="shared" si="17"/>
        <v>70780</v>
      </c>
      <c r="I24" s="60">
        <f t="shared" si="17"/>
        <v>70780</v>
      </c>
    </row>
    <row r="25" spans="1:9" ht="24.95" customHeight="1" x14ac:dyDescent="0.25">
      <c r="A25" s="186">
        <v>3</v>
      </c>
      <c r="B25" s="187"/>
      <c r="C25" s="188"/>
      <c r="D25" s="122" t="s">
        <v>13</v>
      </c>
      <c r="E25" s="41">
        <f t="shared" si="15"/>
        <v>0</v>
      </c>
      <c r="F25" s="41">
        <f t="shared" si="16"/>
        <v>0</v>
      </c>
      <c r="G25" s="41">
        <f t="shared" si="17"/>
        <v>70780</v>
      </c>
      <c r="H25" s="41">
        <f t="shared" si="17"/>
        <v>70780</v>
      </c>
      <c r="I25" s="41">
        <f t="shared" si="17"/>
        <v>70780</v>
      </c>
    </row>
    <row r="26" spans="1:9" ht="24.95" customHeight="1" x14ac:dyDescent="0.25">
      <c r="A26" s="183">
        <v>32</v>
      </c>
      <c r="B26" s="184"/>
      <c r="C26" s="185"/>
      <c r="D26" s="122" t="s">
        <v>23</v>
      </c>
      <c r="E26" s="41"/>
      <c r="F26" s="41"/>
      <c r="G26" s="41">
        <f>45000+2300+4080+5000+400+14000</f>
        <v>70780</v>
      </c>
      <c r="H26" s="41">
        <f>G26</f>
        <v>70780</v>
      </c>
      <c r="I26" s="42">
        <f>G26</f>
        <v>70780</v>
      </c>
    </row>
    <row r="27" spans="1:9" ht="32.450000000000003" customHeight="1" x14ac:dyDescent="0.25">
      <c r="A27" s="189" t="s">
        <v>186</v>
      </c>
      <c r="B27" s="190"/>
      <c r="C27" s="191"/>
      <c r="D27" s="131" t="s">
        <v>187</v>
      </c>
      <c r="E27" s="54">
        <f>E29</f>
        <v>0</v>
      </c>
      <c r="F27" s="54">
        <f>F29</f>
        <v>0</v>
      </c>
      <c r="G27" s="54">
        <f>G29</f>
        <v>5000</v>
      </c>
      <c r="H27" s="54">
        <f t="shared" ref="H27:I27" si="18">H29</f>
        <v>5000</v>
      </c>
      <c r="I27" s="54">
        <f t="shared" si="18"/>
        <v>5000</v>
      </c>
    </row>
    <row r="28" spans="1:9" s="63" customFormat="1" ht="24.95" customHeight="1" x14ac:dyDescent="0.25">
      <c r="A28" s="180" t="s">
        <v>72</v>
      </c>
      <c r="B28" s="181"/>
      <c r="C28" s="182"/>
      <c r="D28" s="130" t="s">
        <v>11</v>
      </c>
      <c r="E28" s="60">
        <f>E29</f>
        <v>0</v>
      </c>
      <c r="F28" s="60">
        <f t="shared" ref="E28:I29" si="19">F29</f>
        <v>0</v>
      </c>
      <c r="G28" s="60">
        <f t="shared" si="19"/>
        <v>5000</v>
      </c>
      <c r="H28" s="60">
        <f t="shared" si="19"/>
        <v>5000</v>
      </c>
      <c r="I28" s="60">
        <f t="shared" si="19"/>
        <v>5000</v>
      </c>
    </row>
    <row r="29" spans="1:9" ht="24.95" customHeight="1" x14ac:dyDescent="0.25">
      <c r="A29" s="186">
        <v>4</v>
      </c>
      <c r="B29" s="187"/>
      <c r="C29" s="188"/>
      <c r="D29" s="129" t="s">
        <v>15</v>
      </c>
      <c r="E29" s="41">
        <f t="shared" si="19"/>
        <v>0</v>
      </c>
      <c r="F29" s="41">
        <f t="shared" si="19"/>
        <v>0</v>
      </c>
      <c r="G29" s="41">
        <f t="shared" si="19"/>
        <v>5000</v>
      </c>
      <c r="H29" s="41">
        <f t="shared" si="19"/>
        <v>5000</v>
      </c>
      <c r="I29" s="41">
        <f t="shared" si="19"/>
        <v>5000</v>
      </c>
    </row>
    <row r="30" spans="1:9" ht="24.95" customHeight="1" x14ac:dyDescent="0.25">
      <c r="A30" s="183">
        <v>42</v>
      </c>
      <c r="B30" s="184"/>
      <c r="C30" s="185"/>
      <c r="D30" s="129" t="s">
        <v>29</v>
      </c>
      <c r="E30" s="41"/>
      <c r="F30" s="41"/>
      <c r="G30" s="41">
        <v>5000</v>
      </c>
      <c r="H30" s="41">
        <f>G30</f>
        <v>5000</v>
      </c>
      <c r="I30" s="42">
        <f>G30</f>
        <v>5000</v>
      </c>
    </row>
    <row r="31" spans="1:9" ht="32.450000000000003" customHeight="1" x14ac:dyDescent="0.25">
      <c r="A31" s="189" t="s">
        <v>176</v>
      </c>
      <c r="B31" s="190"/>
      <c r="C31" s="191"/>
      <c r="D31" s="121" t="s">
        <v>177</v>
      </c>
      <c r="E31" s="54">
        <f>E33</f>
        <v>0</v>
      </c>
      <c r="F31" s="54">
        <f>F33</f>
        <v>0</v>
      </c>
      <c r="G31" s="54">
        <f>G33</f>
        <v>80000</v>
      </c>
      <c r="H31" s="54">
        <f t="shared" ref="H31:I31" si="20">H33</f>
        <v>80000</v>
      </c>
      <c r="I31" s="54">
        <f t="shared" si="20"/>
        <v>80000</v>
      </c>
    </row>
    <row r="32" spans="1:9" s="63" customFormat="1" ht="24.95" customHeight="1" x14ac:dyDescent="0.25">
      <c r="A32" s="180" t="s">
        <v>72</v>
      </c>
      <c r="B32" s="181"/>
      <c r="C32" s="182"/>
      <c r="D32" s="130" t="s">
        <v>11</v>
      </c>
      <c r="E32" s="60">
        <f t="shared" ref="E32:E33" si="21">E33</f>
        <v>0</v>
      </c>
      <c r="F32" s="60">
        <f t="shared" ref="F32:F33" si="22">F33</f>
        <v>0</v>
      </c>
      <c r="G32" s="60">
        <f t="shared" ref="G32:I33" si="23">G33</f>
        <v>80000</v>
      </c>
      <c r="H32" s="60">
        <f t="shared" si="23"/>
        <v>80000</v>
      </c>
      <c r="I32" s="60">
        <f t="shared" si="23"/>
        <v>80000</v>
      </c>
    </row>
    <row r="33" spans="1:9" ht="24.95" customHeight="1" x14ac:dyDescent="0.25">
      <c r="A33" s="186">
        <v>4</v>
      </c>
      <c r="B33" s="187"/>
      <c r="C33" s="188"/>
      <c r="D33" s="122" t="s">
        <v>15</v>
      </c>
      <c r="E33" s="41">
        <f t="shared" si="21"/>
        <v>0</v>
      </c>
      <c r="F33" s="41">
        <f t="shared" si="22"/>
        <v>0</v>
      </c>
      <c r="G33" s="41">
        <f t="shared" si="23"/>
        <v>80000</v>
      </c>
      <c r="H33" s="41">
        <f t="shared" si="23"/>
        <v>80000</v>
      </c>
      <c r="I33" s="41">
        <f t="shared" si="23"/>
        <v>80000</v>
      </c>
    </row>
    <row r="34" spans="1:9" ht="24.95" customHeight="1" x14ac:dyDescent="0.25">
      <c r="A34" s="183">
        <v>45</v>
      </c>
      <c r="B34" s="184"/>
      <c r="C34" s="185"/>
      <c r="D34" s="36" t="s">
        <v>35</v>
      </c>
      <c r="E34" s="41"/>
      <c r="F34" s="41"/>
      <c r="G34" s="41">
        <f>80000</f>
        <v>80000</v>
      </c>
      <c r="H34" s="41">
        <f>G34</f>
        <v>80000</v>
      </c>
      <c r="I34" s="42">
        <f>G34</f>
        <v>80000</v>
      </c>
    </row>
    <row r="35" spans="1:9" ht="32.450000000000003" customHeight="1" x14ac:dyDescent="0.25">
      <c r="A35" s="189" t="s">
        <v>51</v>
      </c>
      <c r="B35" s="190"/>
      <c r="C35" s="191"/>
      <c r="D35" s="48" t="s">
        <v>52</v>
      </c>
      <c r="E35" s="54">
        <f>E36+E39+E42+E49+E53+E62+E45</f>
        <v>2467706.2799999998</v>
      </c>
      <c r="F35" s="54">
        <f t="shared" ref="F35:I35" si="24">F36+F39+F42+F49+F53+F62+F45</f>
        <v>3176608.71</v>
      </c>
      <c r="G35" s="54">
        <f t="shared" si="24"/>
        <v>3740997.23</v>
      </c>
      <c r="H35" s="54">
        <f t="shared" si="24"/>
        <v>3740997.23</v>
      </c>
      <c r="I35" s="54">
        <f t="shared" si="24"/>
        <v>3740997.23</v>
      </c>
    </row>
    <row r="36" spans="1:9" s="63" customFormat="1" ht="24.95" customHeight="1" x14ac:dyDescent="0.25">
      <c r="A36" s="180" t="s">
        <v>178</v>
      </c>
      <c r="B36" s="181"/>
      <c r="C36" s="182"/>
      <c r="D36" s="130" t="s">
        <v>179</v>
      </c>
      <c r="E36" s="60">
        <f t="shared" ref="E36:G37" si="25">E37</f>
        <v>0</v>
      </c>
      <c r="F36" s="60">
        <f t="shared" si="25"/>
        <v>0</v>
      </c>
      <c r="G36" s="60">
        <f t="shared" si="25"/>
        <v>990</v>
      </c>
      <c r="H36" s="60">
        <f t="shared" ref="H36:I37" si="26">H37</f>
        <v>990</v>
      </c>
      <c r="I36" s="60">
        <f t="shared" si="26"/>
        <v>990</v>
      </c>
    </row>
    <row r="37" spans="1:9" ht="24.95" customHeight="1" x14ac:dyDescent="0.25">
      <c r="A37" s="186">
        <v>3</v>
      </c>
      <c r="B37" s="187"/>
      <c r="C37" s="188"/>
      <c r="D37" s="49" t="s">
        <v>13</v>
      </c>
      <c r="E37" s="41">
        <f t="shared" si="25"/>
        <v>0</v>
      </c>
      <c r="F37" s="41">
        <f t="shared" si="25"/>
        <v>0</v>
      </c>
      <c r="G37" s="41">
        <f t="shared" si="25"/>
        <v>990</v>
      </c>
      <c r="H37" s="41">
        <f t="shared" si="26"/>
        <v>990</v>
      </c>
      <c r="I37" s="41">
        <f t="shared" si="26"/>
        <v>990</v>
      </c>
    </row>
    <row r="38" spans="1:9" ht="24.95" customHeight="1" x14ac:dyDescent="0.25">
      <c r="A38" s="183">
        <v>31</v>
      </c>
      <c r="B38" s="184"/>
      <c r="C38" s="185"/>
      <c r="D38" s="49" t="s">
        <v>102</v>
      </c>
      <c r="E38" s="41">
        <v>0</v>
      </c>
      <c r="F38" s="41">
        <v>0</v>
      </c>
      <c r="G38" s="41">
        <v>990</v>
      </c>
      <c r="H38" s="41">
        <v>990</v>
      </c>
      <c r="I38" s="42">
        <v>990</v>
      </c>
    </row>
    <row r="39" spans="1:9" s="63" customFormat="1" ht="24.95" customHeight="1" x14ac:dyDescent="0.25">
      <c r="A39" s="180" t="s">
        <v>98</v>
      </c>
      <c r="B39" s="181"/>
      <c r="C39" s="182"/>
      <c r="D39" s="59" t="s">
        <v>79</v>
      </c>
      <c r="E39" s="60">
        <f t="shared" ref="E39:G40" si="27">E40</f>
        <v>0</v>
      </c>
      <c r="F39" s="60">
        <f t="shared" si="27"/>
        <v>0</v>
      </c>
      <c r="G39" s="60">
        <f t="shared" si="27"/>
        <v>0</v>
      </c>
      <c r="H39" s="60">
        <f t="shared" ref="H39:I40" si="28">H40</f>
        <v>0</v>
      </c>
      <c r="I39" s="60">
        <f t="shared" si="28"/>
        <v>0</v>
      </c>
    </row>
    <row r="40" spans="1:9" ht="24.95" customHeight="1" x14ac:dyDescent="0.25">
      <c r="A40" s="186">
        <v>3</v>
      </c>
      <c r="B40" s="187"/>
      <c r="C40" s="188"/>
      <c r="D40" s="49" t="s">
        <v>13</v>
      </c>
      <c r="E40" s="41">
        <f t="shared" si="27"/>
        <v>0</v>
      </c>
      <c r="F40" s="41">
        <f t="shared" si="27"/>
        <v>0</v>
      </c>
      <c r="G40" s="41">
        <f t="shared" si="27"/>
        <v>0</v>
      </c>
      <c r="H40" s="41">
        <f t="shared" si="28"/>
        <v>0</v>
      </c>
      <c r="I40" s="41">
        <f t="shared" si="28"/>
        <v>0</v>
      </c>
    </row>
    <row r="41" spans="1:9" ht="24.95" customHeight="1" x14ac:dyDescent="0.25">
      <c r="A41" s="183">
        <v>31</v>
      </c>
      <c r="B41" s="184"/>
      <c r="C41" s="185"/>
      <c r="D41" s="49" t="s">
        <v>101</v>
      </c>
      <c r="E41" s="41">
        <v>0</v>
      </c>
      <c r="F41" s="41">
        <v>0</v>
      </c>
      <c r="G41" s="41"/>
      <c r="H41" s="41">
        <v>0</v>
      </c>
      <c r="I41" s="42">
        <v>0</v>
      </c>
    </row>
    <row r="42" spans="1:9" s="63" customFormat="1" ht="24.95" customHeight="1" x14ac:dyDescent="0.25">
      <c r="A42" s="180" t="s">
        <v>75</v>
      </c>
      <c r="B42" s="181"/>
      <c r="C42" s="182"/>
      <c r="D42" s="59" t="s">
        <v>97</v>
      </c>
      <c r="E42" s="60">
        <f t="shared" ref="E42:G43" si="29">E43</f>
        <v>1706.65</v>
      </c>
      <c r="F42" s="60">
        <f t="shared" si="29"/>
        <v>0</v>
      </c>
      <c r="G42" s="60">
        <f t="shared" si="29"/>
        <v>0</v>
      </c>
      <c r="H42" s="60">
        <f t="shared" ref="H42:I45" si="30">H43</f>
        <v>0</v>
      </c>
      <c r="I42" s="60">
        <f t="shared" si="30"/>
        <v>0</v>
      </c>
    </row>
    <row r="43" spans="1:9" ht="24.95" customHeight="1" x14ac:dyDescent="0.25">
      <c r="A43" s="186">
        <v>3</v>
      </c>
      <c r="B43" s="187"/>
      <c r="C43" s="188"/>
      <c r="D43" s="49" t="s">
        <v>13</v>
      </c>
      <c r="E43" s="41">
        <f t="shared" si="29"/>
        <v>1706.65</v>
      </c>
      <c r="F43" s="41">
        <f t="shared" si="29"/>
        <v>0</v>
      </c>
      <c r="G43" s="41">
        <f t="shared" si="29"/>
        <v>0</v>
      </c>
      <c r="H43" s="41">
        <f t="shared" si="30"/>
        <v>0</v>
      </c>
      <c r="I43" s="41">
        <f t="shared" si="30"/>
        <v>0</v>
      </c>
    </row>
    <row r="44" spans="1:9" ht="24.95" customHeight="1" x14ac:dyDescent="0.25">
      <c r="A44" s="183">
        <v>31</v>
      </c>
      <c r="B44" s="184"/>
      <c r="C44" s="185"/>
      <c r="D44" s="49" t="s">
        <v>14</v>
      </c>
      <c r="E44" s="41">
        <v>1706.65</v>
      </c>
      <c r="F44" s="41">
        <v>0</v>
      </c>
      <c r="G44" s="41"/>
      <c r="H44" s="41">
        <v>0</v>
      </c>
      <c r="I44" s="42">
        <v>0</v>
      </c>
    </row>
    <row r="45" spans="1:9" s="63" customFormat="1" ht="24.95" customHeight="1" x14ac:dyDescent="0.25">
      <c r="A45" s="180" t="s">
        <v>158</v>
      </c>
      <c r="B45" s="181"/>
      <c r="C45" s="182"/>
      <c r="D45" s="120" t="s">
        <v>44</v>
      </c>
      <c r="E45" s="60">
        <f t="shared" ref="E45" si="31">E46</f>
        <v>2919.46</v>
      </c>
      <c r="F45" s="60">
        <f t="shared" ref="F45" si="32">F46</f>
        <v>0</v>
      </c>
      <c r="G45" s="60">
        <f t="shared" ref="G45" si="33">G46</f>
        <v>0</v>
      </c>
      <c r="H45" s="60">
        <f t="shared" si="30"/>
        <v>0</v>
      </c>
      <c r="I45" s="60">
        <f t="shared" si="30"/>
        <v>0</v>
      </c>
    </row>
    <row r="46" spans="1:9" ht="24.95" customHeight="1" x14ac:dyDescent="0.25">
      <c r="A46" s="186">
        <v>3</v>
      </c>
      <c r="B46" s="187"/>
      <c r="C46" s="188"/>
      <c r="D46" s="122" t="s">
        <v>13</v>
      </c>
      <c r="E46" s="41">
        <f>E47+E48</f>
        <v>2919.46</v>
      </c>
      <c r="F46" s="41">
        <f t="shared" ref="F46:I46" si="34">F47+F48</f>
        <v>0</v>
      </c>
      <c r="G46" s="41">
        <f t="shared" si="34"/>
        <v>0</v>
      </c>
      <c r="H46" s="41">
        <f t="shared" si="34"/>
        <v>0</v>
      </c>
      <c r="I46" s="41">
        <f t="shared" si="34"/>
        <v>0</v>
      </c>
    </row>
    <row r="47" spans="1:9" ht="24.95" customHeight="1" x14ac:dyDescent="0.25">
      <c r="A47" s="183">
        <v>31</v>
      </c>
      <c r="B47" s="184"/>
      <c r="C47" s="185"/>
      <c r="D47" s="122" t="s">
        <v>14</v>
      </c>
      <c r="E47" s="41">
        <v>2849.3</v>
      </c>
      <c r="F47" s="41">
        <v>0</v>
      </c>
      <c r="G47" s="41"/>
      <c r="H47" s="41">
        <v>0</v>
      </c>
      <c r="I47" s="42">
        <v>0</v>
      </c>
    </row>
    <row r="48" spans="1:9" ht="24.95" customHeight="1" x14ac:dyDescent="0.25">
      <c r="A48" s="183">
        <v>32</v>
      </c>
      <c r="B48" s="184"/>
      <c r="C48" s="185"/>
      <c r="D48" s="122" t="s">
        <v>91</v>
      </c>
      <c r="E48" s="41">
        <v>70.16</v>
      </c>
      <c r="F48" s="41"/>
      <c r="G48" s="41"/>
      <c r="H48" s="41"/>
      <c r="I48" s="42"/>
    </row>
    <row r="49" spans="1:9" s="63" customFormat="1" ht="24.95" customHeight="1" x14ac:dyDescent="0.25">
      <c r="A49" s="180" t="s">
        <v>86</v>
      </c>
      <c r="B49" s="181"/>
      <c r="C49" s="182"/>
      <c r="D49" s="59" t="s">
        <v>83</v>
      </c>
      <c r="E49" s="60">
        <f>E50</f>
        <v>12664.29</v>
      </c>
      <c r="F49" s="60">
        <f>F50</f>
        <v>17353.7</v>
      </c>
      <c r="G49" s="60">
        <f>G50</f>
        <v>0</v>
      </c>
      <c r="H49" s="60">
        <f t="shared" ref="H49:I49" si="35">H50</f>
        <v>0</v>
      </c>
      <c r="I49" s="60">
        <f t="shared" si="35"/>
        <v>0</v>
      </c>
    </row>
    <row r="50" spans="1:9" ht="24.95" customHeight="1" x14ac:dyDescent="0.25">
      <c r="A50" s="186">
        <v>3</v>
      </c>
      <c r="B50" s="187"/>
      <c r="C50" s="188"/>
      <c r="D50" s="49" t="s">
        <v>13</v>
      </c>
      <c r="E50" s="41">
        <f>E51+E52</f>
        <v>12664.29</v>
      </c>
      <c r="F50" s="41">
        <f>F51+F52</f>
        <v>17353.7</v>
      </c>
      <c r="G50" s="41">
        <f>G51+G52</f>
        <v>0</v>
      </c>
      <c r="H50" s="41">
        <f t="shared" ref="H50:I50" si="36">H51+H52</f>
        <v>0</v>
      </c>
      <c r="I50" s="41">
        <f t="shared" si="36"/>
        <v>0</v>
      </c>
    </row>
    <row r="51" spans="1:9" ht="24.95" customHeight="1" x14ac:dyDescent="0.25">
      <c r="A51" s="183">
        <v>31</v>
      </c>
      <c r="B51" s="184"/>
      <c r="C51" s="185"/>
      <c r="D51" s="49" t="s">
        <v>14</v>
      </c>
      <c r="E51" s="41">
        <v>11804.25</v>
      </c>
      <c r="F51" s="41">
        <f>14857.86+2177.28</f>
        <v>17035.14</v>
      </c>
      <c r="G51" s="41"/>
      <c r="H51" s="41">
        <v>0</v>
      </c>
      <c r="I51" s="42">
        <v>0</v>
      </c>
    </row>
    <row r="52" spans="1:9" ht="24.95" customHeight="1" x14ac:dyDescent="0.25">
      <c r="A52" s="183">
        <v>32</v>
      </c>
      <c r="B52" s="184"/>
      <c r="C52" s="185"/>
      <c r="D52" s="49" t="s">
        <v>91</v>
      </c>
      <c r="E52" s="41">
        <v>860.04</v>
      </c>
      <c r="F52" s="41">
        <v>318.56</v>
      </c>
      <c r="G52" s="41"/>
      <c r="H52" s="41">
        <v>0</v>
      </c>
      <c r="I52" s="42">
        <v>0</v>
      </c>
    </row>
    <row r="53" spans="1:9" s="63" customFormat="1" ht="24.95" customHeight="1" x14ac:dyDescent="0.25">
      <c r="A53" s="180" t="s">
        <v>71</v>
      </c>
      <c r="B53" s="181"/>
      <c r="C53" s="182"/>
      <c r="D53" s="59" t="s">
        <v>85</v>
      </c>
      <c r="E53" s="60">
        <f>E54</f>
        <v>2450415.88</v>
      </c>
      <c r="F53" s="60">
        <f>F54</f>
        <v>3159255.01</v>
      </c>
      <c r="G53" s="60">
        <f>G54</f>
        <v>3740007.23</v>
      </c>
      <c r="H53" s="60">
        <f t="shared" ref="H53:I53" si="37">H54</f>
        <v>3740007.23</v>
      </c>
      <c r="I53" s="60">
        <f t="shared" si="37"/>
        <v>3740007.23</v>
      </c>
    </row>
    <row r="54" spans="1:9" ht="24.95" customHeight="1" x14ac:dyDescent="0.25">
      <c r="A54" s="186">
        <v>3</v>
      </c>
      <c r="B54" s="187"/>
      <c r="C54" s="188"/>
      <c r="D54" s="26" t="s">
        <v>13</v>
      </c>
      <c r="E54" s="41">
        <f>E55+E58</f>
        <v>2450415.88</v>
      </c>
      <c r="F54" s="41">
        <f>F55+F58</f>
        <v>3159255.01</v>
      </c>
      <c r="G54" s="41">
        <f>G55+G58</f>
        <v>3740007.23</v>
      </c>
      <c r="H54" s="41">
        <f t="shared" ref="H54:I54" si="38">H55+H58</f>
        <v>3740007.23</v>
      </c>
      <c r="I54" s="41">
        <f t="shared" si="38"/>
        <v>3740007.23</v>
      </c>
    </row>
    <row r="55" spans="1:9" ht="24.95" customHeight="1" x14ac:dyDescent="0.25">
      <c r="A55" s="183">
        <v>31</v>
      </c>
      <c r="B55" s="184"/>
      <c r="C55" s="185"/>
      <c r="D55" s="26" t="s">
        <v>14</v>
      </c>
      <c r="E55" s="41">
        <f>E56+E57</f>
        <v>2403561.15</v>
      </c>
      <c r="F55" s="41">
        <f>F56+F57</f>
        <v>3105562.09</v>
      </c>
      <c r="G55" s="41">
        <f>G56+G57</f>
        <v>3672707.23</v>
      </c>
      <c r="H55" s="41">
        <f t="shared" ref="H55:I55" si="39">H56+H57</f>
        <v>3672707.23</v>
      </c>
      <c r="I55" s="41">
        <f t="shared" si="39"/>
        <v>3672707.23</v>
      </c>
    </row>
    <row r="56" spans="1:9" ht="24.95" customHeight="1" x14ac:dyDescent="0.25">
      <c r="A56" s="50"/>
      <c r="B56" s="51"/>
      <c r="C56" s="52"/>
      <c r="D56" s="57" t="s">
        <v>92</v>
      </c>
      <c r="E56" s="58">
        <v>2403389.14</v>
      </c>
      <c r="F56" s="58">
        <f>2577000+110357.09+414000+3000</f>
        <v>3104357.09</v>
      </c>
      <c r="G56" s="58">
        <f>(3070000+126707.23+476000)-G57</f>
        <v>3671007.23</v>
      </c>
      <c r="H56" s="58">
        <f>G56</f>
        <v>3671007.23</v>
      </c>
      <c r="I56" s="66">
        <f>G56</f>
        <v>3671007.23</v>
      </c>
    </row>
    <row r="57" spans="1:9" ht="24.95" customHeight="1" x14ac:dyDescent="0.25">
      <c r="A57" s="50"/>
      <c r="B57" s="51"/>
      <c r="C57" s="52"/>
      <c r="D57" s="57" t="s">
        <v>93</v>
      </c>
      <c r="E57" s="58">
        <v>172.01</v>
      </c>
      <c r="F57" s="58">
        <v>1205</v>
      </c>
      <c r="G57" s="58">
        <v>1700</v>
      </c>
      <c r="H57" s="58">
        <f>G57</f>
        <v>1700</v>
      </c>
      <c r="I57" s="66">
        <f>G57</f>
        <v>1700</v>
      </c>
    </row>
    <row r="58" spans="1:9" s="126" customFormat="1" ht="24.95" customHeight="1" x14ac:dyDescent="0.25">
      <c r="A58" s="192">
        <v>32</v>
      </c>
      <c r="B58" s="193"/>
      <c r="C58" s="194"/>
      <c r="D58" s="125" t="s">
        <v>23</v>
      </c>
      <c r="E58" s="90">
        <f>E59+E60+E61</f>
        <v>46854.729999999996</v>
      </c>
      <c r="F58" s="90">
        <f>F59+F60+F61</f>
        <v>53692.92</v>
      </c>
      <c r="G58" s="90">
        <f>G59+G60+G61</f>
        <v>67300</v>
      </c>
      <c r="H58" s="90">
        <f t="shared" ref="H58:I58" si="40">H59+H60+H61</f>
        <v>67300</v>
      </c>
      <c r="I58" s="90">
        <f t="shared" si="40"/>
        <v>67300</v>
      </c>
    </row>
    <row r="59" spans="1:9" ht="24.95" customHeight="1" x14ac:dyDescent="0.25">
      <c r="A59" s="50"/>
      <c r="B59" s="51"/>
      <c r="C59" s="52"/>
      <c r="D59" s="57" t="s">
        <v>94</v>
      </c>
      <c r="E59" s="58">
        <v>39266.639999999999</v>
      </c>
      <c r="F59" s="58">
        <f>43900+100</f>
        <v>44000</v>
      </c>
      <c r="G59" s="58">
        <v>57000</v>
      </c>
      <c r="H59" s="58">
        <v>57000</v>
      </c>
      <c r="I59" s="66">
        <v>57000</v>
      </c>
    </row>
    <row r="60" spans="1:9" ht="24.95" customHeight="1" x14ac:dyDescent="0.25">
      <c r="A60" s="50"/>
      <c r="B60" s="51"/>
      <c r="C60" s="52"/>
      <c r="D60" s="57" t="s">
        <v>95</v>
      </c>
      <c r="E60" s="58">
        <v>6377.71</v>
      </c>
      <c r="F60" s="58">
        <v>8000</v>
      </c>
      <c r="G60" s="58">
        <v>8000</v>
      </c>
      <c r="H60" s="58">
        <v>8000</v>
      </c>
      <c r="I60" s="66">
        <v>8000</v>
      </c>
    </row>
    <row r="61" spans="1:9" ht="24.95" customHeight="1" x14ac:dyDescent="0.25">
      <c r="A61" s="50"/>
      <c r="B61" s="51"/>
      <c r="C61" s="52"/>
      <c r="D61" s="57" t="s">
        <v>96</v>
      </c>
      <c r="E61" s="58">
        <v>1210.3800000000001</v>
      </c>
      <c r="F61" s="58">
        <v>1692.92</v>
      </c>
      <c r="G61" s="58">
        <v>2300</v>
      </c>
      <c r="H61" s="58">
        <v>2300</v>
      </c>
      <c r="I61" s="66">
        <v>2300</v>
      </c>
    </row>
    <row r="62" spans="1:9" s="63" customFormat="1" ht="24.95" customHeight="1" x14ac:dyDescent="0.25">
      <c r="A62" s="180" t="s">
        <v>76</v>
      </c>
      <c r="B62" s="181"/>
      <c r="C62" s="182"/>
      <c r="D62" s="59" t="s">
        <v>42</v>
      </c>
      <c r="E62" s="60">
        <f t="shared" ref="E62:G63" si="41">E63</f>
        <v>0</v>
      </c>
      <c r="F62" s="60">
        <f t="shared" si="41"/>
        <v>0</v>
      </c>
      <c r="G62" s="60">
        <f t="shared" si="41"/>
        <v>0</v>
      </c>
      <c r="H62" s="60">
        <f t="shared" ref="H62:I63" si="42">H63</f>
        <v>0</v>
      </c>
      <c r="I62" s="60">
        <f t="shared" si="42"/>
        <v>0</v>
      </c>
    </row>
    <row r="63" spans="1:9" ht="24.95" customHeight="1" x14ac:dyDescent="0.25">
      <c r="A63" s="186">
        <v>3</v>
      </c>
      <c r="B63" s="187"/>
      <c r="C63" s="188"/>
      <c r="D63" s="49" t="s">
        <v>13</v>
      </c>
      <c r="E63" s="41">
        <f t="shared" si="41"/>
        <v>0</v>
      </c>
      <c r="F63" s="41">
        <f t="shared" si="41"/>
        <v>0</v>
      </c>
      <c r="G63" s="41">
        <f t="shared" si="41"/>
        <v>0</v>
      </c>
      <c r="H63" s="41">
        <f t="shared" si="42"/>
        <v>0</v>
      </c>
      <c r="I63" s="41">
        <f t="shared" si="42"/>
        <v>0</v>
      </c>
    </row>
    <row r="64" spans="1:9" ht="24.95" customHeight="1" x14ac:dyDescent="0.25">
      <c r="A64" s="183">
        <v>31</v>
      </c>
      <c r="B64" s="184"/>
      <c r="C64" s="185"/>
      <c r="D64" s="49" t="s">
        <v>103</v>
      </c>
      <c r="E64" s="41">
        <v>0</v>
      </c>
      <c r="F64" s="41"/>
      <c r="G64" s="41"/>
      <c r="H64" s="41"/>
      <c r="I64" s="42"/>
    </row>
    <row r="65" spans="1:9" ht="24.95" customHeight="1" x14ac:dyDescent="0.25">
      <c r="A65" s="189" t="s">
        <v>53</v>
      </c>
      <c r="B65" s="190"/>
      <c r="C65" s="191"/>
      <c r="D65" s="48" t="s">
        <v>54</v>
      </c>
      <c r="E65" s="54">
        <f t="shared" ref="E65:F65" si="43">E66+E70+E73+E77+E83+E88+E92+E94+E81+E79</f>
        <v>328627.92999999993</v>
      </c>
      <c r="F65" s="54">
        <f t="shared" si="43"/>
        <v>416328.4</v>
      </c>
      <c r="G65" s="54">
        <f>G66+G70+G73+G77+G83+G88+G92+G94+G81+G79</f>
        <v>432190.97000000003</v>
      </c>
      <c r="H65" s="54">
        <f t="shared" ref="H65:I65" si="44">H66+H70+H73+H77+H83+H88+H92+H94+H81+H79</f>
        <v>417516</v>
      </c>
      <c r="I65" s="54">
        <f t="shared" si="44"/>
        <v>417516</v>
      </c>
    </row>
    <row r="66" spans="1:9" s="64" customFormat="1" ht="24.95" customHeight="1" x14ac:dyDescent="0.2">
      <c r="A66" s="180" t="s">
        <v>73</v>
      </c>
      <c r="B66" s="181"/>
      <c r="C66" s="182"/>
      <c r="D66" s="59" t="s">
        <v>74</v>
      </c>
      <c r="E66" s="60">
        <f>E67</f>
        <v>97.22</v>
      </c>
      <c r="F66" s="60">
        <f>F67</f>
        <v>1885</v>
      </c>
      <c r="G66" s="60">
        <f>G67</f>
        <v>2470</v>
      </c>
      <c r="H66" s="60">
        <f t="shared" ref="H66:I66" si="45">H67</f>
        <v>2470</v>
      </c>
      <c r="I66" s="60">
        <f t="shared" si="45"/>
        <v>2470</v>
      </c>
    </row>
    <row r="67" spans="1:9" ht="24.95" customHeight="1" x14ac:dyDescent="0.25">
      <c r="A67" s="186">
        <v>3</v>
      </c>
      <c r="B67" s="187"/>
      <c r="C67" s="188"/>
      <c r="D67" s="26" t="s">
        <v>13</v>
      </c>
      <c r="E67" s="41">
        <f>E68+E69</f>
        <v>97.22</v>
      </c>
      <c r="F67" s="41">
        <f>F68+F69</f>
        <v>1885</v>
      </c>
      <c r="G67" s="41">
        <f>G68+G69</f>
        <v>2470</v>
      </c>
      <c r="H67" s="41">
        <f t="shared" ref="H67:I67" si="46">H68+H69</f>
        <v>2470</v>
      </c>
      <c r="I67" s="41">
        <f t="shared" si="46"/>
        <v>2470</v>
      </c>
    </row>
    <row r="68" spans="1:9" ht="24.95" customHeight="1" x14ac:dyDescent="0.25">
      <c r="A68" s="183">
        <v>32</v>
      </c>
      <c r="B68" s="184"/>
      <c r="C68" s="185"/>
      <c r="D68" s="49" t="s">
        <v>105</v>
      </c>
      <c r="E68" s="41">
        <v>97.22</v>
      </c>
      <c r="F68" s="41">
        <v>1785</v>
      </c>
      <c r="G68" s="41">
        <f>300+100+200+320+100+100+50+100+600+200+100+100+100</f>
        <v>2370</v>
      </c>
      <c r="H68" s="41">
        <f>G68</f>
        <v>2370</v>
      </c>
      <c r="I68" s="42">
        <f>G68</f>
        <v>2370</v>
      </c>
    </row>
    <row r="69" spans="1:9" ht="36.75" customHeight="1" x14ac:dyDescent="0.25">
      <c r="A69" s="183">
        <v>37</v>
      </c>
      <c r="B69" s="184"/>
      <c r="C69" s="185"/>
      <c r="D69" s="55" t="s">
        <v>106</v>
      </c>
      <c r="E69" s="41">
        <v>0</v>
      </c>
      <c r="F69" s="41">
        <v>100</v>
      </c>
      <c r="G69" s="41">
        <f>100</f>
        <v>100</v>
      </c>
      <c r="H69" s="41">
        <f>G69</f>
        <v>100</v>
      </c>
      <c r="I69" s="42">
        <f>G69</f>
        <v>100</v>
      </c>
    </row>
    <row r="70" spans="1:9" s="64" customFormat="1" ht="24.95" customHeight="1" x14ac:dyDescent="0.2">
      <c r="A70" s="180" t="s">
        <v>98</v>
      </c>
      <c r="B70" s="181"/>
      <c r="C70" s="182"/>
      <c r="D70" s="59" t="s">
        <v>79</v>
      </c>
      <c r="E70" s="60">
        <f>E72+E71</f>
        <v>2123.4499999999998</v>
      </c>
      <c r="F70" s="60">
        <f t="shared" ref="F70:G70" si="47">F72+F71</f>
        <v>1309.19</v>
      </c>
      <c r="G70" s="60">
        <f t="shared" si="47"/>
        <v>2151.9899999999998</v>
      </c>
      <c r="H70" s="60">
        <f>H72+H71</f>
        <v>0</v>
      </c>
      <c r="I70" s="60">
        <f>I72+I71</f>
        <v>0</v>
      </c>
    </row>
    <row r="71" spans="1:9" s="64" customFormat="1" ht="24.95" customHeight="1" x14ac:dyDescent="0.2">
      <c r="A71" s="183">
        <v>32</v>
      </c>
      <c r="B71" s="184"/>
      <c r="C71" s="185"/>
      <c r="D71" s="88" t="s">
        <v>23</v>
      </c>
      <c r="E71" s="91">
        <v>2123.4499999999998</v>
      </c>
      <c r="F71" s="91">
        <v>1309.19</v>
      </c>
      <c r="G71" s="91">
        <f>700+45+342.95+434.04+300+30+300</f>
        <v>2151.9899999999998</v>
      </c>
      <c r="H71" s="91"/>
      <c r="I71" s="91"/>
    </row>
    <row r="72" spans="1:9" ht="27.75" customHeight="1" x14ac:dyDescent="0.25">
      <c r="A72" s="183">
        <v>37</v>
      </c>
      <c r="B72" s="184"/>
      <c r="C72" s="185"/>
      <c r="D72" s="55" t="s">
        <v>34</v>
      </c>
      <c r="E72" s="41">
        <v>0</v>
      </c>
      <c r="F72" s="41">
        <v>0</v>
      </c>
      <c r="G72" s="41"/>
      <c r="H72" s="41">
        <v>0</v>
      </c>
      <c r="I72" s="42">
        <v>0</v>
      </c>
    </row>
    <row r="73" spans="1:9" s="64" customFormat="1" ht="24.95" customHeight="1" x14ac:dyDescent="0.2">
      <c r="A73" s="180" t="s">
        <v>75</v>
      </c>
      <c r="B73" s="181"/>
      <c r="C73" s="182"/>
      <c r="D73" s="59" t="s">
        <v>107</v>
      </c>
      <c r="E73" s="60">
        <f>E74</f>
        <v>53351.839999999997</v>
      </c>
      <c r="F73" s="60">
        <f>F74</f>
        <v>77440</v>
      </c>
      <c r="G73" s="60">
        <f>G74</f>
        <v>80550</v>
      </c>
      <c r="H73" s="60">
        <f t="shared" ref="H73:I73" si="48">H74</f>
        <v>80550</v>
      </c>
      <c r="I73" s="60">
        <f t="shared" si="48"/>
        <v>80550</v>
      </c>
    </row>
    <row r="74" spans="1:9" ht="24.95" customHeight="1" x14ac:dyDescent="0.25">
      <c r="A74" s="186">
        <v>3</v>
      </c>
      <c r="B74" s="187"/>
      <c r="C74" s="188"/>
      <c r="D74" s="26" t="s">
        <v>13</v>
      </c>
      <c r="E74" s="41">
        <f>E75+E76</f>
        <v>53351.839999999997</v>
      </c>
      <c r="F74" s="41">
        <f>F75+F76</f>
        <v>77440</v>
      </c>
      <c r="G74" s="41">
        <f>G75+G76</f>
        <v>80550</v>
      </c>
      <c r="H74" s="41">
        <f t="shared" ref="H74:I74" si="49">H75+H76</f>
        <v>80550</v>
      </c>
      <c r="I74" s="41">
        <f t="shared" si="49"/>
        <v>80550</v>
      </c>
    </row>
    <row r="75" spans="1:9" ht="24.95" customHeight="1" x14ac:dyDescent="0.25">
      <c r="A75" s="183">
        <v>32</v>
      </c>
      <c r="B75" s="184"/>
      <c r="C75" s="185"/>
      <c r="D75" s="49" t="s">
        <v>23</v>
      </c>
      <c r="E75" s="41">
        <v>52483.45</v>
      </c>
      <c r="F75" s="41">
        <v>77390</v>
      </c>
      <c r="G75" s="41">
        <f>300+4800+1000+2000+1000+5000+1500+2000+100+2300+3400+1000+45000+10250+400</f>
        <v>80050</v>
      </c>
      <c r="H75" s="41">
        <f>G75</f>
        <v>80050</v>
      </c>
      <c r="I75" s="42">
        <f>H75</f>
        <v>80050</v>
      </c>
    </row>
    <row r="76" spans="1:9" ht="24.95" customHeight="1" x14ac:dyDescent="0.25">
      <c r="A76" s="183">
        <v>37</v>
      </c>
      <c r="B76" s="184"/>
      <c r="C76" s="185"/>
      <c r="D76" s="55" t="s">
        <v>34</v>
      </c>
      <c r="E76" s="41">
        <v>868.39</v>
      </c>
      <c r="F76" s="41">
        <v>50</v>
      </c>
      <c r="G76" s="41">
        <f>500</f>
        <v>500</v>
      </c>
      <c r="H76" s="41">
        <f>G76</f>
        <v>500</v>
      </c>
      <c r="I76" s="42">
        <f>G76</f>
        <v>500</v>
      </c>
    </row>
    <row r="77" spans="1:9" s="64" customFormat="1" ht="24.95" customHeight="1" x14ac:dyDescent="0.2">
      <c r="A77" s="180" t="s">
        <v>99</v>
      </c>
      <c r="B77" s="181"/>
      <c r="C77" s="182"/>
      <c r="D77" s="59" t="s">
        <v>81</v>
      </c>
      <c r="E77" s="60">
        <f>E78</f>
        <v>1016.21</v>
      </c>
      <c r="F77" s="60">
        <f>F78</f>
        <v>1700</v>
      </c>
      <c r="G77" s="60">
        <f>G78</f>
        <v>6537.12</v>
      </c>
      <c r="H77" s="60">
        <f t="shared" ref="H77:I79" si="50">H78</f>
        <v>0</v>
      </c>
      <c r="I77" s="60">
        <f t="shared" si="50"/>
        <v>0</v>
      </c>
    </row>
    <row r="78" spans="1:9" ht="24.95" customHeight="1" x14ac:dyDescent="0.25">
      <c r="A78" s="183">
        <v>32</v>
      </c>
      <c r="B78" s="184"/>
      <c r="C78" s="185"/>
      <c r="D78" s="49" t="s">
        <v>23</v>
      </c>
      <c r="E78" s="41">
        <v>1016.21</v>
      </c>
      <c r="F78" s="41">
        <v>1700</v>
      </c>
      <c r="G78" s="41">
        <f>3219.24+3317.88</f>
        <v>6537.12</v>
      </c>
      <c r="H78" s="41"/>
      <c r="I78" s="42"/>
    </row>
    <row r="79" spans="1:9" s="64" customFormat="1" ht="24.95" customHeight="1" x14ac:dyDescent="0.2">
      <c r="A79" s="180" t="s">
        <v>178</v>
      </c>
      <c r="B79" s="181"/>
      <c r="C79" s="182"/>
      <c r="D79" s="120" t="s">
        <v>179</v>
      </c>
      <c r="E79" s="60">
        <f>E80</f>
        <v>0</v>
      </c>
      <c r="F79" s="60">
        <f>F80</f>
        <v>4233</v>
      </c>
      <c r="G79" s="60">
        <f>G80</f>
        <v>198</v>
      </c>
      <c r="H79" s="60">
        <f t="shared" si="50"/>
        <v>198</v>
      </c>
      <c r="I79" s="60">
        <f t="shared" si="50"/>
        <v>198</v>
      </c>
    </row>
    <row r="80" spans="1:9" ht="24.95" customHeight="1" x14ac:dyDescent="0.25">
      <c r="A80" s="183">
        <v>32</v>
      </c>
      <c r="B80" s="184"/>
      <c r="C80" s="185"/>
      <c r="D80" s="122" t="s">
        <v>23</v>
      </c>
      <c r="E80" s="41">
        <v>0</v>
      </c>
      <c r="F80" s="41">
        <v>4233</v>
      </c>
      <c r="G80" s="41">
        <v>198</v>
      </c>
      <c r="H80" s="41">
        <f>G80</f>
        <v>198</v>
      </c>
      <c r="I80" s="42">
        <f>G80</f>
        <v>198</v>
      </c>
    </row>
    <row r="81" spans="1:9" ht="24.95" customHeight="1" x14ac:dyDescent="0.25">
      <c r="A81" s="180" t="s">
        <v>128</v>
      </c>
      <c r="B81" s="181"/>
      <c r="C81" s="182"/>
      <c r="D81" s="89" t="s">
        <v>130</v>
      </c>
      <c r="E81" s="92">
        <f>E82</f>
        <v>0</v>
      </c>
      <c r="F81" s="92">
        <f t="shared" ref="F81:I81" si="51">F82</f>
        <v>4718.59</v>
      </c>
      <c r="G81" s="92">
        <f t="shared" si="51"/>
        <v>1134.77</v>
      </c>
      <c r="H81" s="92">
        <f t="shared" si="51"/>
        <v>0</v>
      </c>
      <c r="I81" s="92">
        <f t="shared" si="51"/>
        <v>0</v>
      </c>
    </row>
    <row r="82" spans="1:9" ht="24.95" customHeight="1" x14ac:dyDescent="0.25">
      <c r="A82" s="183">
        <v>32</v>
      </c>
      <c r="B82" s="184"/>
      <c r="C82" s="185"/>
      <c r="D82" s="88" t="s">
        <v>23</v>
      </c>
      <c r="E82" s="41">
        <v>0</v>
      </c>
      <c r="F82" s="41">
        <v>4718.59</v>
      </c>
      <c r="G82" s="41">
        <f>1134.77</f>
        <v>1134.77</v>
      </c>
      <c r="H82" s="41"/>
      <c r="I82" s="42"/>
    </row>
    <row r="83" spans="1:9" s="64" customFormat="1" ht="24.95" customHeight="1" x14ac:dyDescent="0.2">
      <c r="A83" s="180" t="s">
        <v>71</v>
      </c>
      <c r="B83" s="181"/>
      <c r="C83" s="182"/>
      <c r="D83" s="59" t="s">
        <v>40</v>
      </c>
      <c r="E83" s="60">
        <f>E84</f>
        <v>269998.86</v>
      </c>
      <c r="F83" s="60">
        <f>F84</f>
        <v>322763.74</v>
      </c>
      <c r="G83" s="60">
        <f>G84</f>
        <v>333448</v>
      </c>
      <c r="H83" s="60">
        <f t="shared" ref="H83:I83" si="52">H84</f>
        <v>333448</v>
      </c>
      <c r="I83" s="60">
        <f t="shared" si="52"/>
        <v>333448</v>
      </c>
    </row>
    <row r="84" spans="1:9" ht="24.95" customHeight="1" x14ac:dyDescent="0.25">
      <c r="A84" s="186">
        <v>3</v>
      </c>
      <c r="B84" s="187"/>
      <c r="C84" s="188"/>
      <c r="D84" s="49" t="s">
        <v>13</v>
      </c>
      <c r="E84" s="41">
        <f>E85+E87+E86</f>
        <v>269998.86</v>
      </c>
      <c r="F84" s="41">
        <f t="shared" ref="F84:I84" si="53">F85+F87+F86</f>
        <v>322763.74</v>
      </c>
      <c r="G84" s="41">
        <f t="shared" si="53"/>
        <v>333448</v>
      </c>
      <c r="H84" s="41">
        <f t="shared" si="53"/>
        <v>333448</v>
      </c>
      <c r="I84" s="41">
        <f t="shared" si="53"/>
        <v>333448</v>
      </c>
    </row>
    <row r="85" spans="1:9" ht="24.95" customHeight="1" x14ac:dyDescent="0.25">
      <c r="A85" s="183">
        <v>32</v>
      </c>
      <c r="B85" s="184"/>
      <c r="C85" s="185"/>
      <c r="D85" s="26" t="s">
        <v>23</v>
      </c>
      <c r="E85" s="41">
        <v>220384.27</v>
      </c>
      <c r="F85" s="41">
        <v>244539.79</v>
      </c>
      <c r="G85" s="41">
        <f>520+2709.31+245000+220+150+249+1202.42+778.77</f>
        <v>250829.5</v>
      </c>
      <c r="H85" s="41">
        <f>G85</f>
        <v>250829.5</v>
      </c>
      <c r="I85" s="42">
        <f>G85</f>
        <v>250829.5</v>
      </c>
    </row>
    <row r="86" spans="1:9" ht="24.95" customHeight="1" x14ac:dyDescent="0.25">
      <c r="A86" s="183">
        <v>37</v>
      </c>
      <c r="B86" s="184"/>
      <c r="C86" s="185"/>
      <c r="D86" s="55" t="s">
        <v>34</v>
      </c>
      <c r="E86" s="41">
        <v>47190.64</v>
      </c>
      <c r="F86" s="41">
        <v>75800</v>
      </c>
      <c r="G86" s="41">
        <f>400+80000</f>
        <v>80400</v>
      </c>
      <c r="H86" s="41">
        <f>G86</f>
        <v>80400</v>
      </c>
      <c r="I86" s="42">
        <f>G86</f>
        <v>80400</v>
      </c>
    </row>
    <row r="87" spans="1:9" ht="24.95" customHeight="1" x14ac:dyDescent="0.25">
      <c r="A87" s="183">
        <v>38</v>
      </c>
      <c r="B87" s="184"/>
      <c r="C87" s="185"/>
      <c r="D87" s="55" t="s">
        <v>129</v>
      </c>
      <c r="E87" s="41">
        <v>2423.9499999999998</v>
      </c>
      <c r="F87" s="41">
        <v>2423.9499999999998</v>
      </c>
      <c r="G87" s="41">
        <v>2218.5</v>
      </c>
      <c r="H87" s="41">
        <f>G87</f>
        <v>2218.5</v>
      </c>
      <c r="I87" s="42">
        <f>G87</f>
        <v>2218.5</v>
      </c>
    </row>
    <row r="88" spans="1:9" s="64" customFormat="1" ht="24.95" customHeight="1" x14ac:dyDescent="0.2">
      <c r="A88" s="180" t="s">
        <v>100</v>
      </c>
      <c r="B88" s="181"/>
      <c r="C88" s="182"/>
      <c r="D88" s="59" t="s">
        <v>82</v>
      </c>
      <c r="E88" s="60">
        <f>E89</f>
        <v>663.61</v>
      </c>
      <c r="F88" s="60">
        <f>F89</f>
        <v>1587.95</v>
      </c>
      <c r="G88" s="60">
        <f>G89</f>
        <v>4480.25</v>
      </c>
      <c r="H88" s="60">
        <f t="shared" ref="H88:I88" si="54">H89</f>
        <v>0</v>
      </c>
      <c r="I88" s="60">
        <f t="shared" si="54"/>
        <v>0</v>
      </c>
    </row>
    <row r="89" spans="1:9" ht="24.95" customHeight="1" x14ac:dyDescent="0.25">
      <c r="A89" s="186">
        <v>3</v>
      </c>
      <c r="B89" s="187"/>
      <c r="C89" s="188"/>
      <c r="D89" s="49" t="s">
        <v>13</v>
      </c>
      <c r="E89" s="41">
        <f>E90+E91</f>
        <v>663.61</v>
      </c>
      <c r="F89" s="41">
        <f>F90+F91</f>
        <v>1587.95</v>
      </c>
      <c r="G89" s="41">
        <f>G90+G91</f>
        <v>4480.25</v>
      </c>
      <c r="H89" s="41">
        <f t="shared" ref="H89:I89" si="55">H90+H91</f>
        <v>0</v>
      </c>
      <c r="I89" s="41">
        <f t="shared" si="55"/>
        <v>0</v>
      </c>
    </row>
    <row r="90" spans="1:9" ht="24.95" customHeight="1" x14ac:dyDescent="0.25">
      <c r="A90" s="183">
        <v>32</v>
      </c>
      <c r="B90" s="184"/>
      <c r="C90" s="185"/>
      <c r="D90" s="49" t="s">
        <v>23</v>
      </c>
      <c r="E90" s="41">
        <v>663.61</v>
      </c>
      <c r="F90" s="41">
        <v>1544.03</v>
      </c>
      <c r="G90" s="41">
        <f>650+3830.25</f>
        <v>4480.25</v>
      </c>
      <c r="H90" s="41"/>
      <c r="I90" s="42"/>
    </row>
    <row r="91" spans="1:9" ht="24.95" customHeight="1" x14ac:dyDescent="0.25">
      <c r="A91" s="183">
        <v>37</v>
      </c>
      <c r="B91" s="184"/>
      <c r="C91" s="185"/>
      <c r="D91" s="55" t="s">
        <v>34</v>
      </c>
      <c r="E91" s="41">
        <v>0</v>
      </c>
      <c r="F91" s="41">
        <v>43.92</v>
      </c>
      <c r="G91" s="41"/>
      <c r="H91" s="41">
        <v>0</v>
      </c>
      <c r="I91" s="42">
        <v>0</v>
      </c>
    </row>
    <row r="92" spans="1:9" s="64" customFormat="1" ht="24.95" customHeight="1" x14ac:dyDescent="0.2">
      <c r="A92" s="180" t="s">
        <v>76</v>
      </c>
      <c r="B92" s="181"/>
      <c r="C92" s="182"/>
      <c r="D92" s="59" t="s">
        <v>42</v>
      </c>
      <c r="E92" s="60">
        <f>E93</f>
        <v>1111.29</v>
      </c>
      <c r="F92" s="60">
        <f>F93</f>
        <v>380</v>
      </c>
      <c r="G92" s="60">
        <f>G93</f>
        <v>850</v>
      </c>
      <c r="H92" s="60">
        <f t="shared" ref="H92:I92" si="56">H93</f>
        <v>850</v>
      </c>
      <c r="I92" s="60">
        <f t="shared" si="56"/>
        <v>850</v>
      </c>
    </row>
    <row r="93" spans="1:9" ht="24.95" customHeight="1" x14ac:dyDescent="0.25">
      <c r="A93" s="183">
        <v>32</v>
      </c>
      <c r="B93" s="184"/>
      <c r="C93" s="185"/>
      <c r="D93" s="49" t="s">
        <v>23</v>
      </c>
      <c r="E93" s="41">
        <v>1111.29</v>
      </c>
      <c r="F93" s="41">
        <f>80+46.41+224.11+29.48</f>
        <v>380</v>
      </c>
      <c r="G93" s="41">
        <f>350+300+100+100</f>
        <v>850</v>
      </c>
      <c r="H93" s="41">
        <f>G93</f>
        <v>850</v>
      </c>
      <c r="I93" s="42">
        <f>G93</f>
        <v>850</v>
      </c>
    </row>
    <row r="94" spans="1:9" s="63" customFormat="1" ht="24.95" customHeight="1" x14ac:dyDescent="0.25">
      <c r="A94" s="180" t="s">
        <v>104</v>
      </c>
      <c r="B94" s="181"/>
      <c r="C94" s="182"/>
      <c r="D94" s="65" t="s">
        <v>84</v>
      </c>
      <c r="E94" s="60">
        <f>E95</f>
        <v>265.45</v>
      </c>
      <c r="F94" s="60">
        <f>F95</f>
        <v>310.93</v>
      </c>
      <c r="G94" s="60">
        <f>G95</f>
        <v>370.84000000000003</v>
      </c>
      <c r="H94" s="60">
        <f t="shared" ref="H94:I94" si="57">H95</f>
        <v>0</v>
      </c>
      <c r="I94" s="60">
        <f t="shared" si="57"/>
        <v>0</v>
      </c>
    </row>
    <row r="95" spans="1:9" ht="24.95" customHeight="1" x14ac:dyDescent="0.25">
      <c r="A95" s="183">
        <v>32</v>
      </c>
      <c r="B95" s="184"/>
      <c r="C95" s="185"/>
      <c r="D95" s="49" t="s">
        <v>23</v>
      </c>
      <c r="E95" s="41">
        <v>265.45</v>
      </c>
      <c r="F95" s="41">
        <v>310.93</v>
      </c>
      <c r="G95" s="41">
        <f>100+100+170.84</f>
        <v>370.84000000000003</v>
      </c>
      <c r="H95" s="41"/>
      <c r="I95" s="42"/>
    </row>
    <row r="96" spans="1:9" ht="24.95" customHeight="1" x14ac:dyDescent="0.25">
      <c r="A96" s="189" t="s">
        <v>55</v>
      </c>
      <c r="B96" s="190"/>
      <c r="C96" s="191"/>
      <c r="D96" s="48" t="s">
        <v>56</v>
      </c>
      <c r="E96" s="54">
        <f>E98+E100+E102+E104</f>
        <v>160.54000000000002</v>
      </c>
      <c r="F96" s="54">
        <f t="shared" ref="F96:I96" si="58">F98+F100+F102+F104</f>
        <v>30</v>
      </c>
      <c r="G96" s="54">
        <f t="shared" si="58"/>
        <v>55</v>
      </c>
      <c r="H96" s="54">
        <f t="shared" si="58"/>
        <v>35</v>
      </c>
      <c r="I96" s="54">
        <f t="shared" si="58"/>
        <v>35</v>
      </c>
    </row>
    <row r="97" spans="1:9" s="63" customFormat="1" ht="24.95" customHeight="1" x14ac:dyDescent="0.25">
      <c r="A97" s="180" t="s">
        <v>73</v>
      </c>
      <c r="B97" s="181"/>
      <c r="C97" s="182"/>
      <c r="D97" s="59" t="s">
        <v>41</v>
      </c>
      <c r="E97" s="62">
        <f>E98</f>
        <v>0.03</v>
      </c>
      <c r="F97" s="62">
        <f t="shared" ref="F97:I97" si="59">F98</f>
        <v>30</v>
      </c>
      <c r="G97" s="62">
        <f t="shared" si="59"/>
        <v>35</v>
      </c>
      <c r="H97" s="62">
        <f t="shared" si="59"/>
        <v>35</v>
      </c>
      <c r="I97" s="62">
        <f t="shared" si="59"/>
        <v>35</v>
      </c>
    </row>
    <row r="98" spans="1:9" ht="24.95" customHeight="1" x14ac:dyDescent="0.25">
      <c r="A98" s="183">
        <v>34</v>
      </c>
      <c r="B98" s="184"/>
      <c r="C98" s="185"/>
      <c r="D98" s="49" t="s">
        <v>33</v>
      </c>
      <c r="E98" s="41">
        <v>0.03</v>
      </c>
      <c r="F98" s="41">
        <v>30</v>
      </c>
      <c r="G98" s="41">
        <f>35</f>
        <v>35</v>
      </c>
      <c r="H98" s="41">
        <f>G98</f>
        <v>35</v>
      </c>
      <c r="I98" s="42">
        <f>G98</f>
        <v>35</v>
      </c>
    </row>
    <row r="99" spans="1:9" s="63" customFormat="1" ht="24.95" customHeight="1" x14ac:dyDescent="0.25">
      <c r="A99" s="180" t="s">
        <v>98</v>
      </c>
      <c r="B99" s="181"/>
      <c r="C99" s="182"/>
      <c r="D99" s="59" t="s">
        <v>79</v>
      </c>
      <c r="E99" s="62">
        <f>E100</f>
        <v>0</v>
      </c>
      <c r="F99" s="62">
        <f t="shared" ref="F99:I99" si="60">F100</f>
        <v>0</v>
      </c>
      <c r="G99" s="62">
        <f t="shared" si="60"/>
        <v>20</v>
      </c>
      <c r="H99" s="62">
        <f t="shared" si="60"/>
        <v>0</v>
      </c>
      <c r="I99" s="62">
        <f t="shared" si="60"/>
        <v>0</v>
      </c>
    </row>
    <row r="100" spans="1:9" ht="24.95" customHeight="1" x14ac:dyDescent="0.25">
      <c r="A100" s="183">
        <v>34</v>
      </c>
      <c r="B100" s="184"/>
      <c r="C100" s="185"/>
      <c r="D100" s="49" t="s">
        <v>33</v>
      </c>
      <c r="E100" s="41">
        <v>0</v>
      </c>
      <c r="F100" s="41"/>
      <c r="G100" s="41">
        <f>20</f>
        <v>20</v>
      </c>
      <c r="H100" s="41">
        <v>0</v>
      </c>
      <c r="I100" s="42">
        <v>0</v>
      </c>
    </row>
    <row r="101" spans="1:9" s="63" customFormat="1" ht="24.95" customHeight="1" x14ac:dyDescent="0.25">
      <c r="A101" s="180" t="s">
        <v>75</v>
      </c>
      <c r="B101" s="181"/>
      <c r="C101" s="182"/>
      <c r="D101" s="59" t="s">
        <v>97</v>
      </c>
      <c r="E101" s="62">
        <f>E102</f>
        <v>147.61000000000001</v>
      </c>
      <c r="F101" s="62">
        <f t="shared" ref="F101:I101" si="61">F102</f>
        <v>0</v>
      </c>
      <c r="G101" s="62">
        <f t="shared" si="61"/>
        <v>0</v>
      </c>
      <c r="H101" s="62">
        <f t="shared" si="61"/>
        <v>0</v>
      </c>
      <c r="I101" s="62">
        <f t="shared" si="61"/>
        <v>0</v>
      </c>
    </row>
    <row r="102" spans="1:9" ht="24.95" customHeight="1" x14ac:dyDescent="0.25">
      <c r="A102" s="183">
        <v>34</v>
      </c>
      <c r="B102" s="184"/>
      <c r="C102" s="185"/>
      <c r="D102" s="49" t="s">
        <v>33</v>
      </c>
      <c r="E102" s="41">
        <v>147.61000000000001</v>
      </c>
      <c r="F102" s="41"/>
      <c r="G102" s="41"/>
      <c r="H102" s="41"/>
      <c r="I102" s="42"/>
    </row>
    <row r="103" spans="1:9" s="63" customFormat="1" ht="24.95" customHeight="1" x14ac:dyDescent="0.25">
      <c r="A103" s="180" t="s">
        <v>99</v>
      </c>
      <c r="B103" s="181"/>
      <c r="C103" s="182"/>
      <c r="D103" s="120" t="s">
        <v>81</v>
      </c>
      <c r="E103" s="62">
        <f>E104</f>
        <v>12.9</v>
      </c>
      <c r="F103" s="62">
        <f t="shared" ref="F103:I103" si="62">F104</f>
        <v>0</v>
      </c>
      <c r="G103" s="62">
        <f t="shared" si="62"/>
        <v>0</v>
      </c>
      <c r="H103" s="62">
        <f t="shared" si="62"/>
        <v>0</v>
      </c>
      <c r="I103" s="62">
        <f t="shared" si="62"/>
        <v>0</v>
      </c>
    </row>
    <row r="104" spans="1:9" ht="24.95" customHeight="1" x14ac:dyDescent="0.25">
      <c r="A104" s="183">
        <v>34</v>
      </c>
      <c r="B104" s="184"/>
      <c r="C104" s="185"/>
      <c r="D104" s="122" t="s">
        <v>33</v>
      </c>
      <c r="E104" s="41">
        <v>12.9</v>
      </c>
      <c r="F104" s="41"/>
      <c r="G104" s="41"/>
      <c r="H104" s="41"/>
      <c r="I104" s="42"/>
    </row>
    <row r="105" spans="1:9" ht="24.95" customHeight="1" x14ac:dyDescent="0.25">
      <c r="A105" s="189" t="s">
        <v>57</v>
      </c>
      <c r="B105" s="190"/>
      <c r="C105" s="191"/>
      <c r="D105" s="48" t="s">
        <v>58</v>
      </c>
      <c r="E105" s="54">
        <f>E107+E109+E111+E113+E123+E115+E117+E119+E121+E125</f>
        <v>26153.690000000002</v>
      </c>
      <c r="F105" s="54">
        <f t="shared" ref="F105:I105" si="63">F107+F109+F111+F113+F123+F115+F117+F119+F121+F125</f>
        <v>40388.06</v>
      </c>
      <c r="G105" s="54">
        <f t="shared" si="63"/>
        <v>53690.67</v>
      </c>
      <c r="H105" s="54">
        <f t="shared" si="63"/>
        <v>45777.229999999996</v>
      </c>
      <c r="I105" s="54">
        <f t="shared" si="63"/>
        <v>45777.229999999996</v>
      </c>
    </row>
    <row r="106" spans="1:9" s="63" customFormat="1" ht="24.95" customHeight="1" x14ac:dyDescent="0.25">
      <c r="A106" s="180" t="s">
        <v>73</v>
      </c>
      <c r="B106" s="181"/>
      <c r="C106" s="182"/>
      <c r="D106" s="59" t="s">
        <v>41</v>
      </c>
      <c r="E106" s="62">
        <f>E107</f>
        <v>0</v>
      </c>
      <c r="F106" s="62">
        <f t="shared" ref="F106:I106" si="64">F107</f>
        <v>2080</v>
      </c>
      <c r="G106" s="62">
        <f t="shared" si="64"/>
        <v>2550</v>
      </c>
      <c r="H106" s="62">
        <f t="shared" si="64"/>
        <v>2550</v>
      </c>
      <c r="I106" s="62">
        <f t="shared" si="64"/>
        <v>2550</v>
      </c>
    </row>
    <row r="107" spans="1:9" ht="24.95" customHeight="1" x14ac:dyDescent="0.25">
      <c r="A107" s="183">
        <v>42</v>
      </c>
      <c r="B107" s="184"/>
      <c r="C107" s="185"/>
      <c r="D107" s="49" t="s">
        <v>29</v>
      </c>
      <c r="E107" s="41"/>
      <c r="F107" s="41">
        <v>2080</v>
      </c>
      <c r="G107" s="41">
        <f>1000+100+800+100+400+150</f>
        <v>2550</v>
      </c>
      <c r="H107" s="41">
        <f>G107</f>
        <v>2550</v>
      </c>
      <c r="I107" s="42">
        <f>G107</f>
        <v>2550</v>
      </c>
    </row>
    <row r="108" spans="1:9" s="63" customFormat="1" ht="24.95" customHeight="1" x14ac:dyDescent="0.25">
      <c r="A108" s="180" t="s">
        <v>98</v>
      </c>
      <c r="B108" s="181"/>
      <c r="C108" s="182"/>
      <c r="D108" s="59" t="s">
        <v>79</v>
      </c>
      <c r="E108" s="62">
        <f>E109</f>
        <v>1388</v>
      </c>
      <c r="F108" s="62">
        <f t="shared" ref="F108:I108" si="65">F109</f>
        <v>1800</v>
      </c>
      <c r="G108" s="62">
        <f t="shared" si="65"/>
        <v>1999.99</v>
      </c>
      <c r="H108" s="62">
        <f t="shared" si="65"/>
        <v>0</v>
      </c>
      <c r="I108" s="62">
        <f t="shared" si="65"/>
        <v>0</v>
      </c>
    </row>
    <row r="109" spans="1:9" ht="24.95" customHeight="1" x14ac:dyDescent="0.25">
      <c r="A109" s="183">
        <v>42</v>
      </c>
      <c r="B109" s="184"/>
      <c r="C109" s="185"/>
      <c r="D109" s="49" t="s">
        <v>29</v>
      </c>
      <c r="E109" s="41">
        <v>1388</v>
      </c>
      <c r="F109" s="41">
        <v>1800</v>
      </c>
      <c r="G109" s="41">
        <f>199.99+1800</f>
        <v>1999.99</v>
      </c>
      <c r="H109" s="41"/>
      <c r="I109" s="42"/>
    </row>
    <row r="110" spans="1:9" s="63" customFormat="1" ht="24.95" customHeight="1" x14ac:dyDescent="0.25">
      <c r="A110" s="180" t="s">
        <v>75</v>
      </c>
      <c r="B110" s="181"/>
      <c r="C110" s="182"/>
      <c r="D110" s="59" t="s">
        <v>97</v>
      </c>
      <c r="E110" s="62">
        <f>E111</f>
        <v>13251.32</v>
      </c>
      <c r="F110" s="62">
        <f t="shared" ref="F110:I110" si="66">F111</f>
        <v>13000</v>
      </c>
      <c r="G110" s="62">
        <f t="shared" si="66"/>
        <v>10900</v>
      </c>
      <c r="H110" s="62">
        <f t="shared" si="66"/>
        <v>10900</v>
      </c>
      <c r="I110" s="62">
        <f t="shared" si="66"/>
        <v>10900</v>
      </c>
    </row>
    <row r="111" spans="1:9" ht="24.95" customHeight="1" x14ac:dyDescent="0.25">
      <c r="A111" s="183">
        <v>42</v>
      </c>
      <c r="B111" s="184"/>
      <c r="C111" s="185"/>
      <c r="D111" s="49" t="s">
        <v>29</v>
      </c>
      <c r="E111" s="41">
        <v>13251.32</v>
      </c>
      <c r="F111" s="41">
        <v>13000</v>
      </c>
      <c r="G111" s="41">
        <f>3300+2600+5000</f>
        <v>10900</v>
      </c>
      <c r="H111" s="41">
        <f>G111</f>
        <v>10900</v>
      </c>
      <c r="I111" s="42">
        <f>G111</f>
        <v>10900</v>
      </c>
    </row>
    <row r="112" spans="1:9" s="63" customFormat="1" ht="24.95" customHeight="1" x14ac:dyDescent="0.25">
      <c r="A112" s="180" t="s">
        <v>99</v>
      </c>
      <c r="B112" s="181"/>
      <c r="C112" s="182"/>
      <c r="D112" s="59" t="s">
        <v>81</v>
      </c>
      <c r="E112" s="62">
        <f>E113</f>
        <v>6008.93</v>
      </c>
      <c r="F112" s="62">
        <f t="shared" ref="F112:I112" si="67">F113</f>
        <v>4105.83</v>
      </c>
      <c r="G112" s="62">
        <f t="shared" si="67"/>
        <v>4867.1900000000005</v>
      </c>
      <c r="H112" s="62">
        <f t="shared" si="67"/>
        <v>0</v>
      </c>
      <c r="I112" s="62">
        <f t="shared" si="67"/>
        <v>0</v>
      </c>
    </row>
    <row r="113" spans="1:9" ht="24.95" customHeight="1" x14ac:dyDescent="0.25">
      <c r="A113" s="183">
        <v>42</v>
      </c>
      <c r="B113" s="184"/>
      <c r="C113" s="185"/>
      <c r="D113" s="49" t="s">
        <v>29</v>
      </c>
      <c r="E113" s="41">
        <v>6008.93</v>
      </c>
      <c r="F113" s="41">
        <v>4105.83</v>
      </c>
      <c r="G113" s="41">
        <f>2467.19+2400</f>
        <v>4867.1900000000005</v>
      </c>
      <c r="H113" s="41"/>
      <c r="I113" s="42"/>
    </row>
    <row r="114" spans="1:9" ht="24.95" customHeight="1" x14ac:dyDescent="0.25">
      <c r="A114" s="180" t="s">
        <v>76</v>
      </c>
      <c r="B114" s="181"/>
      <c r="C114" s="182"/>
      <c r="D114" s="89" t="s">
        <v>42</v>
      </c>
      <c r="E114" s="127">
        <f>E115</f>
        <v>1767.83</v>
      </c>
      <c r="F114" s="127">
        <f t="shared" ref="F114:I114" si="68">F115</f>
        <v>0</v>
      </c>
      <c r="G114" s="127">
        <f t="shared" si="68"/>
        <v>500</v>
      </c>
      <c r="H114" s="127">
        <f t="shared" si="68"/>
        <v>500</v>
      </c>
      <c r="I114" s="127">
        <f t="shared" si="68"/>
        <v>500</v>
      </c>
    </row>
    <row r="115" spans="1:9" ht="24.95" customHeight="1" x14ac:dyDescent="0.25">
      <c r="A115" s="183">
        <v>42</v>
      </c>
      <c r="B115" s="184"/>
      <c r="C115" s="185"/>
      <c r="D115" s="88" t="s">
        <v>29</v>
      </c>
      <c r="E115" s="41">
        <v>1767.83</v>
      </c>
      <c r="F115" s="41"/>
      <c r="G115" s="41">
        <v>500</v>
      </c>
      <c r="H115" s="41">
        <f>G115</f>
        <v>500</v>
      </c>
      <c r="I115" s="42">
        <f>G115</f>
        <v>500</v>
      </c>
    </row>
    <row r="116" spans="1:9" ht="24.95" customHeight="1" x14ac:dyDescent="0.25">
      <c r="A116" s="180" t="s">
        <v>104</v>
      </c>
      <c r="B116" s="181"/>
      <c r="C116" s="182"/>
      <c r="D116" s="120" t="s">
        <v>84</v>
      </c>
      <c r="E116" s="127">
        <f>E117</f>
        <v>0</v>
      </c>
      <c r="F116" s="127">
        <f t="shared" ref="F116:I116" si="69">F117</f>
        <v>0</v>
      </c>
      <c r="G116" s="127">
        <f t="shared" si="69"/>
        <v>300</v>
      </c>
      <c r="H116" s="127">
        <f t="shared" si="69"/>
        <v>0</v>
      </c>
      <c r="I116" s="127">
        <f t="shared" si="69"/>
        <v>0</v>
      </c>
    </row>
    <row r="117" spans="1:9" ht="24.95" customHeight="1" x14ac:dyDescent="0.25">
      <c r="A117" s="183">
        <v>42</v>
      </c>
      <c r="B117" s="184"/>
      <c r="C117" s="185"/>
      <c r="D117" s="122" t="s">
        <v>29</v>
      </c>
      <c r="E117" s="41">
        <v>0</v>
      </c>
      <c r="F117" s="41"/>
      <c r="G117" s="41">
        <f>300</f>
        <v>300</v>
      </c>
      <c r="H117" s="41"/>
      <c r="I117" s="42"/>
    </row>
    <row r="118" spans="1:9" ht="24.95" customHeight="1" x14ac:dyDescent="0.25">
      <c r="A118" s="180" t="s">
        <v>183</v>
      </c>
      <c r="B118" s="181"/>
      <c r="C118" s="182"/>
      <c r="D118" s="123" t="s">
        <v>184</v>
      </c>
      <c r="E118" s="127">
        <f>E119</f>
        <v>0</v>
      </c>
      <c r="F118" s="127">
        <f t="shared" ref="F118:I118" si="70">F119</f>
        <v>2775</v>
      </c>
      <c r="G118" s="127">
        <f t="shared" si="70"/>
        <v>0</v>
      </c>
      <c r="H118" s="127">
        <f t="shared" si="70"/>
        <v>0</v>
      </c>
      <c r="I118" s="127">
        <f t="shared" si="70"/>
        <v>0</v>
      </c>
    </row>
    <row r="119" spans="1:9" ht="24.95" customHeight="1" x14ac:dyDescent="0.25">
      <c r="A119" s="183">
        <v>42</v>
      </c>
      <c r="B119" s="184"/>
      <c r="C119" s="185"/>
      <c r="D119" s="124" t="s">
        <v>29</v>
      </c>
      <c r="E119" s="41">
        <v>0</v>
      </c>
      <c r="F119" s="41">
        <v>2775</v>
      </c>
      <c r="G119" s="41"/>
      <c r="H119" s="41">
        <v>0</v>
      </c>
      <c r="I119" s="42">
        <v>0</v>
      </c>
    </row>
    <row r="120" spans="1:9" ht="24.95" customHeight="1" x14ac:dyDescent="0.25">
      <c r="A120" s="180" t="s">
        <v>128</v>
      </c>
      <c r="B120" s="181"/>
      <c r="C120" s="182"/>
      <c r="D120" s="120" t="s">
        <v>130</v>
      </c>
      <c r="E120" s="127">
        <f>E121</f>
        <v>0</v>
      </c>
      <c r="F120" s="127">
        <f t="shared" ref="F120:I120" si="71">F121</f>
        <v>0</v>
      </c>
      <c r="G120" s="127">
        <f t="shared" si="71"/>
        <v>0</v>
      </c>
      <c r="H120" s="127">
        <f t="shared" si="71"/>
        <v>0</v>
      </c>
      <c r="I120" s="127">
        <f t="shared" si="71"/>
        <v>0</v>
      </c>
    </row>
    <row r="121" spans="1:9" ht="24.95" customHeight="1" x14ac:dyDescent="0.25">
      <c r="A121" s="183">
        <v>42</v>
      </c>
      <c r="B121" s="184"/>
      <c r="C121" s="185"/>
      <c r="D121" s="122" t="s">
        <v>29</v>
      </c>
      <c r="E121" s="41">
        <v>0</v>
      </c>
      <c r="F121" s="41"/>
      <c r="G121" s="41"/>
      <c r="H121" s="41">
        <f>G121</f>
        <v>0</v>
      </c>
      <c r="I121" s="42">
        <f>G121</f>
        <v>0</v>
      </c>
    </row>
    <row r="122" spans="1:9" s="63" customFormat="1" ht="24.95" customHeight="1" x14ac:dyDescent="0.25">
      <c r="A122" s="180" t="s">
        <v>71</v>
      </c>
      <c r="B122" s="181"/>
      <c r="C122" s="182"/>
      <c r="D122" s="59" t="s">
        <v>40</v>
      </c>
      <c r="E122" s="62">
        <f>E123</f>
        <v>3737.61</v>
      </c>
      <c r="F122" s="62">
        <f t="shared" ref="F122:I124" si="72">F123</f>
        <v>16627.23</v>
      </c>
      <c r="G122" s="62">
        <f t="shared" si="72"/>
        <v>31827.24</v>
      </c>
      <c r="H122" s="62">
        <f t="shared" si="72"/>
        <v>31827.23</v>
      </c>
      <c r="I122" s="62">
        <f t="shared" si="72"/>
        <v>31827.23</v>
      </c>
    </row>
    <row r="123" spans="1:9" ht="24.95" customHeight="1" x14ac:dyDescent="0.25">
      <c r="A123" s="183">
        <v>42</v>
      </c>
      <c r="B123" s="184"/>
      <c r="C123" s="185"/>
      <c r="D123" s="49" t="s">
        <v>29</v>
      </c>
      <c r="E123" s="41">
        <v>3737.61</v>
      </c>
      <c r="F123" s="41">
        <v>16627.23</v>
      </c>
      <c r="G123" s="41">
        <f>500+31327.24</f>
        <v>31827.24</v>
      </c>
      <c r="H123" s="41">
        <v>31827.23</v>
      </c>
      <c r="I123" s="41">
        <v>31827.23</v>
      </c>
    </row>
    <row r="124" spans="1:9" s="63" customFormat="1" ht="24.95" customHeight="1" x14ac:dyDescent="0.25">
      <c r="A124" s="180" t="s">
        <v>100</v>
      </c>
      <c r="B124" s="181"/>
      <c r="C124" s="182"/>
      <c r="D124" s="130" t="s">
        <v>82</v>
      </c>
      <c r="E124" s="62">
        <f>E125</f>
        <v>0</v>
      </c>
      <c r="F124" s="62">
        <f t="shared" si="72"/>
        <v>0</v>
      </c>
      <c r="G124" s="62">
        <f t="shared" si="72"/>
        <v>746.25</v>
      </c>
      <c r="H124" s="62">
        <f t="shared" si="72"/>
        <v>0</v>
      </c>
      <c r="I124" s="62">
        <f t="shared" si="72"/>
        <v>0</v>
      </c>
    </row>
    <row r="125" spans="1:9" ht="24.95" customHeight="1" x14ac:dyDescent="0.25">
      <c r="A125" s="183">
        <v>42</v>
      </c>
      <c r="B125" s="184"/>
      <c r="C125" s="185"/>
      <c r="D125" s="129" t="s">
        <v>29</v>
      </c>
      <c r="E125" s="41"/>
      <c r="F125" s="41"/>
      <c r="G125" s="41">
        <f>746.25</f>
        <v>746.25</v>
      </c>
      <c r="H125" s="41"/>
      <c r="I125" s="41"/>
    </row>
    <row r="126" spans="1:9" ht="24.95" customHeight="1" x14ac:dyDescent="0.25">
      <c r="A126" s="195" t="s">
        <v>59</v>
      </c>
      <c r="B126" s="196"/>
      <c r="C126" s="197"/>
      <c r="D126" s="53" t="s">
        <v>60</v>
      </c>
      <c r="E126" s="56">
        <f>E127+E132+E137+E141+E156+E169+E174</f>
        <v>341799.37</v>
      </c>
      <c r="F126" s="56">
        <f>F127+F132+F137+F141+F156+F169+F174</f>
        <v>449370</v>
      </c>
      <c r="G126" s="56">
        <f>G127+G132+G137+G141+G156+G169+G174+G179</f>
        <v>524900</v>
      </c>
      <c r="H126" s="56">
        <f t="shared" ref="H126:I126" si="73">H127+H132+H137+H141+H156+H169+H174+H179</f>
        <v>524900</v>
      </c>
      <c r="I126" s="56">
        <f t="shared" si="73"/>
        <v>524900</v>
      </c>
    </row>
    <row r="127" spans="1:9" ht="31.9" customHeight="1" x14ac:dyDescent="0.25">
      <c r="A127" s="189" t="s">
        <v>61</v>
      </c>
      <c r="B127" s="190"/>
      <c r="C127" s="191"/>
      <c r="D127" s="48" t="s">
        <v>90</v>
      </c>
      <c r="E127" s="54">
        <f>E129</f>
        <v>1426.6999999999998</v>
      </c>
      <c r="F127" s="54">
        <f>F129</f>
        <v>70</v>
      </c>
      <c r="G127" s="54">
        <f>G129</f>
        <v>1000</v>
      </c>
      <c r="H127" s="54">
        <f t="shared" ref="H127:I127" si="74">H129</f>
        <v>1000</v>
      </c>
      <c r="I127" s="54">
        <f t="shared" si="74"/>
        <v>1000</v>
      </c>
    </row>
    <row r="128" spans="1:9" s="63" customFormat="1" ht="24.95" customHeight="1" x14ac:dyDescent="0.25">
      <c r="A128" s="180" t="s">
        <v>72</v>
      </c>
      <c r="B128" s="181"/>
      <c r="C128" s="182"/>
      <c r="D128" s="59" t="s">
        <v>11</v>
      </c>
      <c r="E128" s="60">
        <f>E129</f>
        <v>1426.6999999999998</v>
      </c>
      <c r="F128" s="60">
        <f>F129</f>
        <v>70</v>
      </c>
      <c r="G128" s="60">
        <f>G129</f>
        <v>1000</v>
      </c>
      <c r="H128" s="60">
        <f t="shared" ref="H128:I128" si="75">H129</f>
        <v>1000</v>
      </c>
      <c r="I128" s="60">
        <f t="shared" si="75"/>
        <v>1000</v>
      </c>
    </row>
    <row r="129" spans="1:9" ht="24.95" customHeight="1" x14ac:dyDescent="0.25">
      <c r="A129" s="186">
        <v>3</v>
      </c>
      <c r="B129" s="187"/>
      <c r="C129" s="188"/>
      <c r="D129" s="19" t="s">
        <v>13</v>
      </c>
      <c r="E129" s="41">
        <f>E131+E130</f>
        <v>1426.6999999999998</v>
      </c>
      <c r="F129" s="41">
        <f t="shared" ref="F129:I129" si="76">F131+F130</f>
        <v>70</v>
      </c>
      <c r="G129" s="41">
        <f t="shared" si="76"/>
        <v>1000</v>
      </c>
      <c r="H129" s="41">
        <f t="shared" si="76"/>
        <v>1000</v>
      </c>
      <c r="I129" s="41">
        <f t="shared" si="76"/>
        <v>1000</v>
      </c>
    </row>
    <row r="130" spans="1:9" ht="24.95" customHeight="1" x14ac:dyDescent="0.25">
      <c r="A130" s="183">
        <v>32</v>
      </c>
      <c r="B130" s="184"/>
      <c r="C130" s="185"/>
      <c r="D130" s="88" t="s">
        <v>23</v>
      </c>
      <c r="E130" s="41">
        <v>1373.6</v>
      </c>
      <c r="F130" s="41">
        <v>70</v>
      </c>
      <c r="G130" s="41">
        <f>500+500</f>
        <v>1000</v>
      </c>
      <c r="H130" s="41">
        <f>G130</f>
        <v>1000</v>
      </c>
      <c r="I130" s="41">
        <f>G130</f>
        <v>1000</v>
      </c>
    </row>
    <row r="131" spans="1:9" ht="24.95" customHeight="1" x14ac:dyDescent="0.25">
      <c r="A131" s="183">
        <v>37</v>
      </c>
      <c r="B131" s="184"/>
      <c r="C131" s="185"/>
      <c r="D131" s="55" t="s">
        <v>34</v>
      </c>
      <c r="E131" s="41">
        <v>53.1</v>
      </c>
      <c r="F131" s="41"/>
      <c r="G131" s="41"/>
      <c r="H131" s="41"/>
      <c r="I131" s="42"/>
    </row>
    <row r="132" spans="1:9" ht="24.95" customHeight="1" x14ac:dyDescent="0.25">
      <c r="A132" s="189" t="s">
        <v>62</v>
      </c>
      <c r="B132" s="190"/>
      <c r="C132" s="191"/>
      <c r="D132" s="48" t="s">
        <v>63</v>
      </c>
      <c r="E132" s="54">
        <f>E134</f>
        <v>120777.68999999999</v>
      </c>
      <c r="F132" s="54">
        <f>F134</f>
        <v>172700</v>
      </c>
      <c r="G132" s="54">
        <f>G134</f>
        <v>208000</v>
      </c>
      <c r="H132" s="54">
        <f t="shared" ref="H132:I132" si="77">H134</f>
        <v>208000</v>
      </c>
      <c r="I132" s="54">
        <f t="shared" si="77"/>
        <v>208000</v>
      </c>
    </row>
    <row r="133" spans="1:9" s="63" customFormat="1" ht="24.95" customHeight="1" x14ac:dyDescent="0.25">
      <c r="A133" s="180" t="s">
        <v>72</v>
      </c>
      <c r="B133" s="181"/>
      <c r="C133" s="182"/>
      <c r="D133" s="59" t="s">
        <v>11</v>
      </c>
      <c r="E133" s="60">
        <f>E134</f>
        <v>120777.68999999999</v>
      </c>
      <c r="F133" s="60">
        <f>F134</f>
        <v>172700</v>
      </c>
      <c r="G133" s="60">
        <f>G134</f>
        <v>208000</v>
      </c>
      <c r="H133" s="60">
        <f t="shared" ref="H133:I133" si="78">H134</f>
        <v>208000</v>
      </c>
      <c r="I133" s="60">
        <f t="shared" si="78"/>
        <v>208000</v>
      </c>
    </row>
    <row r="134" spans="1:9" ht="24.95" customHeight="1" x14ac:dyDescent="0.25">
      <c r="A134" s="186">
        <v>3</v>
      </c>
      <c r="B134" s="187"/>
      <c r="C134" s="188"/>
      <c r="D134" s="26" t="s">
        <v>13</v>
      </c>
      <c r="E134" s="41">
        <f>E135+E136</f>
        <v>120777.68999999999</v>
      </c>
      <c r="F134" s="41">
        <f>F135+F136</f>
        <v>172700</v>
      </c>
      <c r="G134" s="41">
        <f>G135+G136</f>
        <v>208000</v>
      </c>
      <c r="H134" s="41">
        <f t="shared" ref="H134:I134" si="79">H135+H136</f>
        <v>208000</v>
      </c>
      <c r="I134" s="41">
        <f t="shared" si="79"/>
        <v>208000</v>
      </c>
    </row>
    <row r="135" spans="1:9" ht="24.95" customHeight="1" x14ac:dyDescent="0.25">
      <c r="A135" s="183">
        <v>31</v>
      </c>
      <c r="B135" s="184"/>
      <c r="C135" s="185"/>
      <c r="D135" s="26" t="s">
        <v>14</v>
      </c>
      <c r="E135" s="41">
        <v>119502.04</v>
      </c>
      <c r="F135" s="41">
        <f>142000+5900+23300</f>
        <v>171200</v>
      </c>
      <c r="G135" s="41">
        <f>172411.47+5120.72+28458.2</f>
        <v>205990.39</v>
      </c>
      <c r="H135" s="41">
        <f>G135</f>
        <v>205990.39</v>
      </c>
      <c r="I135" s="42">
        <f>G135</f>
        <v>205990.39</v>
      </c>
    </row>
    <row r="136" spans="1:9" ht="24.95" customHeight="1" x14ac:dyDescent="0.25">
      <c r="A136" s="183">
        <v>32</v>
      </c>
      <c r="B136" s="184"/>
      <c r="C136" s="185"/>
      <c r="D136" s="26" t="s">
        <v>91</v>
      </c>
      <c r="E136" s="41">
        <v>1275.6500000000001</v>
      </c>
      <c r="F136" s="41">
        <f>1500</f>
        <v>1500</v>
      </c>
      <c r="G136" s="41">
        <f>2009.61</f>
        <v>2009.61</v>
      </c>
      <c r="H136" s="41">
        <f>G136</f>
        <v>2009.61</v>
      </c>
      <c r="I136" s="42">
        <f>G136</f>
        <v>2009.61</v>
      </c>
    </row>
    <row r="137" spans="1:9" ht="30.6" customHeight="1" x14ac:dyDescent="0.25">
      <c r="A137" s="189" t="s">
        <v>64</v>
      </c>
      <c r="B137" s="190"/>
      <c r="C137" s="191"/>
      <c r="D137" s="48" t="s">
        <v>89</v>
      </c>
      <c r="E137" s="54">
        <f>E139</f>
        <v>51704.81</v>
      </c>
      <c r="F137" s="54">
        <f>F139</f>
        <v>67000</v>
      </c>
      <c r="G137" s="54">
        <f>G139</f>
        <v>70000</v>
      </c>
      <c r="H137" s="54">
        <f t="shared" ref="H137:I137" si="80">H139</f>
        <v>70000</v>
      </c>
      <c r="I137" s="54">
        <f t="shared" si="80"/>
        <v>70000</v>
      </c>
    </row>
    <row r="138" spans="1:9" s="63" customFormat="1" ht="24.95" customHeight="1" x14ac:dyDescent="0.25">
      <c r="A138" s="180" t="s">
        <v>72</v>
      </c>
      <c r="B138" s="181"/>
      <c r="C138" s="182"/>
      <c r="D138" s="59" t="s">
        <v>11</v>
      </c>
      <c r="E138" s="60">
        <f t="shared" ref="E138:G139" si="81">E139</f>
        <v>51704.81</v>
      </c>
      <c r="F138" s="60">
        <f t="shared" si="81"/>
        <v>67000</v>
      </c>
      <c r="G138" s="60">
        <f t="shared" si="81"/>
        <v>70000</v>
      </c>
      <c r="H138" s="60">
        <f t="shared" ref="H138:I139" si="82">H139</f>
        <v>70000</v>
      </c>
      <c r="I138" s="60">
        <f t="shared" si="82"/>
        <v>70000</v>
      </c>
    </row>
    <row r="139" spans="1:9" ht="24.95" customHeight="1" x14ac:dyDescent="0.25">
      <c r="A139" s="186">
        <v>3</v>
      </c>
      <c r="B139" s="187"/>
      <c r="C139" s="188"/>
      <c r="D139" s="26" t="s">
        <v>13</v>
      </c>
      <c r="E139" s="41">
        <f t="shared" si="81"/>
        <v>51704.81</v>
      </c>
      <c r="F139" s="41">
        <f t="shared" si="81"/>
        <v>67000</v>
      </c>
      <c r="G139" s="41">
        <f t="shared" si="81"/>
        <v>70000</v>
      </c>
      <c r="H139" s="41">
        <f t="shared" si="82"/>
        <v>70000</v>
      </c>
      <c r="I139" s="41">
        <f t="shared" si="82"/>
        <v>70000</v>
      </c>
    </row>
    <row r="140" spans="1:9" ht="27.6" customHeight="1" x14ac:dyDescent="0.25">
      <c r="A140" s="183">
        <v>37</v>
      </c>
      <c r="B140" s="184"/>
      <c r="C140" s="185"/>
      <c r="D140" s="55" t="s">
        <v>34</v>
      </c>
      <c r="E140" s="41">
        <v>51704.81</v>
      </c>
      <c r="F140" s="41">
        <v>67000</v>
      </c>
      <c r="G140" s="41">
        <f>70000</f>
        <v>70000</v>
      </c>
      <c r="H140" s="41">
        <f>G140</f>
        <v>70000</v>
      </c>
      <c r="I140" s="42">
        <f>G140</f>
        <v>70000</v>
      </c>
    </row>
    <row r="141" spans="1:9" ht="24.95" customHeight="1" x14ac:dyDescent="0.25">
      <c r="A141" s="189" t="s">
        <v>65</v>
      </c>
      <c r="B141" s="190"/>
      <c r="C141" s="191"/>
      <c r="D141" s="48" t="s">
        <v>180</v>
      </c>
      <c r="E141" s="54">
        <f>E150+E153+E142</f>
        <v>25356.27</v>
      </c>
      <c r="F141" s="54">
        <f>F150+F153+F142</f>
        <v>13200</v>
      </c>
      <c r="G141" s="54">
        <f>G150+G153+G142+G147</f>
        <v>16200</v>
      </c>
      <c r="H141" s="54">
        <f t="shared" ref="H141:I141" si="83">H150+H153+H142+H147</f>
        <v>16200</v>
      </c>
      <c r="I141" s="54">
        <f t="shared" si="83"/>
        <v>16200</v>
      </c>
    </row>
    <row r="142" spans="1:9" ht="24.95" customHeight="1" x14ac:dyDescent="0.25">
      <c r="A142" s="180" t="s">
        <v>72</v>
      </c>
      <c r="B142" s="181"/>
      <c r="C142" s="182"/>
      <c r="D142" s="89" t="s">
        <v>11</v>
      </c>
      <c r="E142" s="93">
        <f>E143+E145</f>
        <v>14272.36</v>
      </c>
      <c r="F142" s="93">
        <f t="shared" ref="F142:I142" si="84">F143+F145</f>
        <v>6600</v>
      </c>
      <c r="G142" s="93">
        <f t="shared" si="84"/>
        <v>2500</v>
      </c>
      <c r="H142" s="93">
        <f t="shared" si="84"/>
        <v>2500</v>
      </c>
      <c r="I142" s="93">
        <f t="shared" si="84"/>
        <v>2500</v>
      </c>
    </row>
    <row r="143" spans="1:9" ht="24.95" customHeight="1" x14ac:dyDescent="0.25">
      <c r="A143" s="186">
        <v>3</v>
      </c>
      <c r="B143" s="187"/>
      <c r="C143" s="188"/>
      <c r="D143" s="88" t="s">
        <v>13</v>
      </c>
      <c r="E143" s="90">
        <f>E144</f>
        <v>6919.42</v>
      </c>
      <c r="F143" s="90">
        <f t="shared" ref="F143:I143" si="85">F144</f>
        <v>6600</v>
      </c>
      <c r="G143" s="90">
        <f t="shared" si="85"/>
        <v>2500</v>
      </c>
      <c r="H143" s="90">
        <f t="shared" si="85"/>
        <v>2500</v>
      </c>
      <c r="I143" s="90">
        <f t="shared" si="85"/>
        <v>2500</v>
      </c>
    </row>
    <row r="144" spans="1:9" ht="24.95" customHeight="1" x14ac:dyDescent="0.25">
      <c r="A144" s="183">
        <v>32</v>
      </c>
      <c r="B144" s="184"/>
      <c r="C144" s="185"/>
      <c r="D144" s="88" t="s">
        <v>23</v>
      </c>
      <c r="E144" s="90">
        <v>6919.42</v>
      </c>
      <c r="F144" s="90">
        <v>6600</v>
      </c>
      <c r="G144" s="90">
        <f>2500</f>
        <v>2500</v>
      </c>
      <c r="H144" s="90">
        <f>G144</f>
        <v>2500</v>
      </c>
      <c r="I144" s="90">
        <f>G144</f>
        <v>2500</v>
      </c>
    </row>
    <row r="145" spans="1:9" ht="24.95" customHeight="1" x14ac:dyDescent="0.25">
      <c r="A145" s="186">
        <v>4</v>
      </c>
      <c r="B145" s="187"/>
      <c r="C145" s="188"/>
      <c r="D145" s="122" t="s">
        <v>15</v>
      </c>
      <c r="E145" s="41">
        <f t="shared" ref="E145" si="86">E146</f>
        <v>7352.94</v>
      </c>
      <c r="F145" s="41">
        <f t="shared" ref="F145" si="87">F146</f>
        <v>0</v>
      </c>
      <c r="G145" s="41">
        <f t="shared" ref="G145:I145" si="88">G146</f>
        <v>0</v>
      </c>
      <c r="H145" s="41">
        <f t="shared" si="88"/>
        <v>0</v>
      </c>
      <c r="I145" s="41">
        <f t="shared" si="88"/>
        <v>0</v>
      </c>
    </row>
    <row r="146" spans="1:9" ht="24.95" customHeight="1" x14ac:dyDescent="0.25">
      <c r="A146" s="183">
        <v>42</v>
      </c>
      <c r="B146" s="184"/>
      <c r="C146" s="185"/>
      <c r="D146" s="122" t="s">
        <v>29</v>
      </c>
      <c r="E146" s="41">
        <v>7352.94</v>
      </c>
      <c r="F146" s="41"/>
      <c r="G146" s="41"/>
      <c r="H146" s="41"/>
      <c r="I146" s="42"/>
    </row>
    <row r="147" spans="1:9" s="63" customFormat="1" ht="24.95" customHeight="1" x14ac:dyDescent="0.25">
      <c r="A147" s="180" t="s">
        <v>170</v>
      </c>
      <c r="B147" s="181"/>
      <c r="C147" s="182"/>
      <c r="D147" s="120" t="s">
        <v>172</v>
      </c>
      <c r="E147" s="60">
        <f t="shared" ref="E147:E148" si="89">E148</f>
        <v>0</v>
      </c>
      <c r="F147" s="60">
        <f t="shared" ref="F147:F148" si="90">F148</f>
        <v>0</v>
      </c>
      <c r="G147" s="60">
        <f t="shared" ref="G147:I148" si="91">G148</f>
        <v>1600</v>
      </c>
      <c r="H147" s="60">
        <f t="shared" si="91"/>
        <v>1600</v>
      </c>
      <c r="I147" s="60">
        <f t="shared" si="91"/>
        <v>1600</v>
      </c>
    </row>
    <row r="148" spans="1:9" ht="24.95" customHeight="1" x14ac:dyDescent="0.25">
      <c r="A148" s="186">
        <v>3</v>
      </c>
      <c r="B148" s="187"/>
      <c r="C148" s="188"/>
      <c r="D148" s="122" t="s">
        <v>13</v>
      </c>
      <c r="E148" s="41">
        <f t="shared" si="89"/>
        <v>0</v>
      </c>
      <c r="F148" s="41">
        <f t="shared" si="90"/>
        <v>0</v>
      </c>
      <c r="G148" s="41">
        <f t="shared" si="91"/>
        <v>1600</v>
      </c>
      <c r="H148" s="41">
        <f t="shared" si="91"/>
        <v>1600</v>
      </c>
      <c r="I148" s="41">
        <f t="shared" si="91"/>
        <v>1600</v>
      </c>
    </row>
    <row r="149" spans="1:9" ht="24.95" customHeight="1" x14ac:dyDescent="0.25">
      <c r="A149" s="183">
        <v>32</v>
      </c>
      <c r="B149" s="184"/>
      <c r="C149" s="185"/>
      <c r="D149" s="122" t="s">
        <v>23</v>
      </c>
      <c r="E149" s="41"/>
      <c r="F149" s="41"/>
      <c r="G149" s="41">
        <f>1600</f>
        <v>1600</v>
      </c>
      <c r="H149" s="41">
        <v>1600</v>
      </c>
      <c r="I149" s="42">
        <v>1600</v>
      </c>
    </row>
    <row r="150" spans="1:9" s="63" customFormat="1" ht="24.95" customHeight="1" x14ac:dyDescent="0.25">
      <c r="A150" s="180" t="s">
        <v>71</v>
      </c>
      <c r="B150" s="181"/>
      <c r="C150" s="182"/>
      <c r="D150" s="59" t="s">
        <v>40</v>
      </c>
      <c r="E150" s="60">
        <f t="shared" ref="E150:G151" si="92">E151</f>
        <v>498.92</v>
      </c>
      <c r="F150" s="60">
        <f t="shared" si="92"/>
        <v>1400</v>
      </c>
      <c r="G150" s="60">
        <f t="shared" si="92"/>
        <v>0</v>
      </c>
      <c r="H150" s="60">
        <f t="shared" ref="H150:I151" si="93">H151</f>
        <v>0</v>
      </c>
      <c r="I150" s="60">
        <f t="shared" si="93"/>
        <v>0</v>
      </c>
    </row>
    <row r="151" spans="1:9" ht="24.95" customHeight="1" x14ac:dyDescent="0.25">
      <c r="A151" s="186">
        <v>3</v>
      </c>
      <c r="B151" s="187"/>
      <c r="C151" s="188"/>
      <c r="D151" s="26" t="s">
        <v>13</v>
      </c>
      <c r="E151" s="41">
        <f t="shared" si="92"/>
        <v>498.92</v>
      </c>
      <c r="F151" s="41">
        <f t="shared" si="92"/>
        <v>1400</v>
      </c>
      <c r="G151" s="41">
        <f t="shared" si="92"/>
        <v>0</v>
      </c>
      <c r="H151" s="41">
        <f t="shared" si="93"/>
        <v>0</v>
      </c>
      <c r="I151" s="41">
        <f t="shared" si="93"/>
        <v>0</v>
      </c>
    </row>
    <row r="152" spans="1:9" ht="24.95" customHeight="1" x14ac:dyDescent="0.25">
      <c r="A152" s="183">
        <v>32</v>
      </c>
      <c r="B152" s="184"/>
      <c r="C152" s="185"/>
      <c r="D152" s="49" t="s">
        <v>23</v>
      </c>
      <c r="E152" s="41">
        <v>498.92</v>
      </c>
      <c r="F152" s="41">
        <v>1400</v>
      </c>
      <c r="G152" s="41"/>
      <c r="H152" s="41">
        <f>G152</f>
        <v>0</v>
      </c>
      <c r="I152" s="42">
        <f>G152</f>
        <v>0</v>
      </c>
    </row>
    <row r="153" spans="1:9" s="63" customFormat="1" ht="24.95" customHeight="1" x14ac:dyDescent="0.25">
      <c r="A153" s="180" t="s">
        <v>88</v>
      </c>
      <c r="B153" s="181"/>
      <c r="C153" s="182"/>
      <c r="D153" s="59" t="s">
        <v>45</v>
      </c>
      <c r="E153" s="60">
        <f t="shared" ref="E153:G154" si="94">E154</f>
        <v>10584.99</v>
      </c>
      <c r="F153" s="60">
        <f t="shared" si="94"/>
        <v>5200</v>
      </c>
      <c r="G153" s="60">
        <f t="shared" si="94"/>
        <v>12100</v>
      </c>
      <c r="H153" s="60">
        <f t="shared" ref="H153:I154" si="95">H154</f>
        <v>12100</v>
      </c>
      <c r="I153" s="60">
        <f t="shared" si="95"/>
        <v>12100</v>
      </c>
    </row>
    <row r="154" spans="1:9" ht="24.95" customHeight="1" x14ac:dyDescent="0.25">
      <c r="A154" s="186">
        <v>3</v>
      </c>
      <c r="B154" s="187"/>
      <c r="C154" s="188"/>
      <c r="D154" s="49" t="s">
        <v>13</v>
      </c>
      <c r="E154" s="41">
        <f t="shared" si="94"/>
        <v>10584.99</v>
      </c>
      <c r="F154" s="41">
        <f t="shared" si="94"/>
        <v>5200</v>
      </c>
      <c r="G154" s="41">
        <f t="shared" si="94"/>
        <v>12100</v>
      </c>
      <c r="H154" s="41">
        <f t="shared" si="95"/>
        <v>12100</v>
      </c>
      <c r="I154" s="41">
        <f t="shared" si="95"/>
        <v>12100</v>
      </c>
    </row>
    <row r="155" spans="1:9" ht="24.95" customHeight="1" x14ac:dyDescent="0.25">
      <c r="A155" s="183">
        <v>32</v>
      </c>
      <c r="B155" s="184"/>
      <c r="C155" s="185"/>
      <c r="D155" s="49" t="s">
        <v>23</v>
      </c>
      <c r="E155" s="41">
        <v>10584.99</v>
      </c>
      <c r="F155" s="41">
        <v>5200</v>
      </c>
      <c r="G155" s="41">
        <f>12100</f>
        <v>12100</v>
      </c>
      <c r="H155" s="41">
        <f>G155</f>
        <v>12100</v>
      </c>
      <c r="I155" s="42">
        <f>G155</f>
        <v>12100</v>
      </c>
    </row>
    <row r="156" spans="1:9" ht="30" customHeight="1" x14ac:dyDescent="0.25">
      <c r="A156" s="189" t="s">
        <v>66</v>
      </c>
      <c r="B156" s="190"/>
      <c r="C156" s="191"/>
      <c r="D156" s="48" t="s">
        <v>87</v>
      </c>
      <c r="E156" s="54">
        <f>E157+E161+E165</f>
        <v>117935.14000000001</v>
      </c>
      <c r="F156" s="54">
        <f>F157+F161+F165</f>
        <v>162700</v>
      </c>
      <c r="G156" s="54">
        <f>G157+G161+G165</f>
        <v>0</v>
      </c>
      <c r="H156" s="54">
        <f t="shared" ref="H156:I156" si="96">H157+H161+H165</f>
        <v>0</v>
      </c>
      <c r="I156" s="54">
        <f t="shared" si="96"/>
        <v>0</v>
      </c>
    </row>
    <row r="157" spans="1:9" s="63" customFormat="1" ht="24.95" customHeight="1" x14ac:dyDescent="0.25">
      <c r="A157" s="180" t="s">
        <v>72</v>
      </c>
      <c r="B157" s="181"/>
      <c r="C157" s="182"/>
      <c r="D157" s="59" t="s">
        <v>11</v>
      </c>
      <c r="E157" s="60">
        <f>E158</f>
        <v>17690.280000000002</v>
      </c>
      <c r="F157" s="60">
        <f>F158</f>
        <v>162700</v>
      </c>
      <c r="G157" s="60">
        <f>G158</f>
        <v>0</v>
      </c>
      <c r="H157" s="60">
        <f t="shared" ref="H157:I157" si="97">H158</f>
        <v>0</v>
      </c>
      <c r="I157" s="60">
        <f t="shared" si="97"/>
        <v>0</v>
      </c>
    </row>
    <row r="158" spans="1:9" ht="24.95" customHeight="1" x14ac:dyDescent="0.25">
      <c r="A158" s="186">
        <v>3</v>
      </c>
      <c r="B158" s="187"/>
      <c r="C158" s="188"/>
      <c r="D158" s="26" t="s">
        <v>13</v>
      </c>
      <c r="E158" s="41">
        <f>SUM(E159:E160)</f>
        <v>17690.280000000002</v>
      </c>
      <c r="F158" s="41">
        <f>SUM(F159:F160)</f>
        <v>162700</v>
      </c>
      <c r="G158" s="41">
        <f>SUM(G159:G160)</f>
        <v>0</v>
      </c>
      <c r="H158" s="41">
        <f t="shared" ref="H158:I158" si="98">SUM(H159:H160)</f>
        <v>0</v>
      </c>
      <c r="I158" s="41">
        <f t="shared" si="98"/>
        <v>0</v>
      </c>
    </row>
    <row r="159" spans="1:9" ht="24.95" customHeight="1" x14ac:dyDescent="0.25">
      <c r="A159" s="183">
        <v>31</v>
      </c>
      <c r="B159" s="184"/>
      <c r="C159" s="185"/>
      <c r="D159" s="27" t="s">
        <v>14</v>
      </c>
      <c r="E159" s="41">
        <v>17087.97</v>
      </c>
      <c r="F159" s="41">
        <f>121000+11900+20000</f>
        <v>152900</v>
      </c>
      <c r="G159" s="41"/>
      <c r="H159" s="41"/>
      <c r="I159" s="42"/>
    </row>
    <row r="160" spans="1:9" ht="24.95" customHeight="1" x14ac:dyDescent="0.25">
      <c r="A160" s="183">
        <v>32</v>
      </c>
      <c r="B160" s="184"/>
      <c r="C160" s="185"/>
      <c r="D160" s="49" t="s">
        <v>132</v>
      </c>
      <c r="E160" s="41">
        <v>602.30999999999995</v>
      </c>
      <c r="F160" s="41">
        <f>8800+1000</f>
        <v>9800</v>
      </c>
      <c r="G160" s="41"/>
      <c r="H160" s="41"/>
      <c r="I160" s="42"/>
    </row>
    <row r="161" spans="1:9" s="63" customFormat="1" ht="24.95" customHeight="1" x14ac:dyDescent="0.25">
      <c r="A161" s="180" t="s">
        <v>71</v>
      </c>
      <c r="B161" s="181"/>
      <c r="C161" s="182"/>
      <c r="D161" s="59" t="s">
        <v>40</v>
      </c>
      <c r="E161" s="60">
        <f>E162</f>
        <v>15036.730000000001</v>
      </c>
      <c r="F161" s="60">
        <f>F162</f>
        <v>0</v>
      </c>
      <c r="G161" s="60">
        <f>G162</f>
        <v>0</v>
      </c>
      <c r="H161" s="60">
        <f t="shared" ref="H161:I161" si="99">H162</f>
        <v>0</v>
      </c>
      <c r="I161" s="60">
        <f t="shared" si="99"/>
        <v>0</v>
      </c>
    </row>
    <row r="162" spans="1:9" ht="24.95" customHeight="1" x14ac:dyDescent="0.25">
      <c r="A162" s="186">
        <v>3</v>
      </c>
      <c r="B162" s="187"/>
      <c r="C162" s="188"/>
      <c r="D162" s="47" t="s">
        <v>13</v>
      </c>
      <c r="E162" s="41">
        <f>SUM(E163:E164)</f>
        <v>15036.730000000001</v>
      </c>
      <c r="F162" s="41">
        <f>SUM(F163:F164)</f>
        <v>0</v>
      </c>
      <c r="G162" s="41">
        <f>SUM(G163:G164)</f>
        <v>0</v>
      </c>
      <c r="H162" s="41">
        <f t="shared" ref="H162:I162" si="100">SUM(H163:H164)</f>
        <v>0</v>
      </c>
      <c r="I162" s="41">
        <f t="shared" si="100"/>
        <v>0</v>
      </c>
    </row>
    <row r="163" spans="1:9" ht="24.95" customHeight="1" x14ac:dyDescent="0.25">
      <c r="A163" s="183">
        <v>31</v>
      </c>
      <c r="B163" s="184"/>
      <c r="C163" s="185"/>
      <c r="D163" s="47" t="s">
        <v>14</v>
      </c>
      <c r="E163" s="41">
        <v>13354.53</v>
      </c>
      <c r="F163" s="41"/>
      <c r="G163" s="41"/>
      <c r="H163" s="41"/>
      <c r="I163" s="42"/>
    </row>
    <row r="164" spans="1:9" ht="24.95" customHeight="1" x14ac:dyDescent="0.25">
      <c r="A164" s="183">
        <v>32</v>
      </c>
      <c r="B164" s="184"/>
      <c r="C164" s="185"/>
      <c r="D164" s="49" t="s">
        <v>91</v>
      </c>
      <c r="E164" s="41">
        <v>1682.2</v>
      </c>
      <c r="F164" s="41"/>
      <c r="G164" s="41"/>
      <c r="H164" s="41"/>
      <c r="I164" s="42"/>
    </row>
    <row r="165" spans="1:9" s="63" customFormat="1" ht="24.95" customHeight="1" x14ac:dyDescent="0.25">
      <c r="A165" s="180" t="s">
        <v>88</v>
      </c>
      <c r="B165" s="181"/>
      <c r="C165" s="182"/>
      <c r="D165" s="59" t="s">
        <v>45</v>
      </c>
      <c r="E165" s="60">
        <f>E166</f>
        <v>85208.13</v>
      </c>
      <c r="F165" s="60">
        <f>F166</f>
        <v>0</v>
      </c>
      <c r="G165" s="60">
        <f>G166</f>
        <v>0</v>
      </c>
      <c r="H165" s="60">
        <f t="shared" ref="H165:I165" si="101">H166</f>
        <v>0</v>
      </c>
      <c r="I165" s="60">
        <f t="shared" si="101"/>
        <v>0</v>
      </c>
    </row>
    <row r="166" spans="1:9" ht="24.95" customHeight="1" x14ac:dyDescent="0.25">
      <c r="A166" s="186">
        <v>3</v>
      </c>
      <c r="B166" s="187"/>
      <c r="C166" s="188"/>
      <c r="D166" s="47" t="s">
        <v>13</v>
      </c>
      <c r="E166" s="41">
        <f>SUM(E167:E168)</f>
        <v>85208.13</v>
      </c>
      <c r="F166" s="41">
        <f>SUM(F167:F168)</f>
        <v>0</v>
      </c>
      <c r="G166" s="41">
        <f>SUM(G167:G168)</f>
        <v>0</v>
      </c>
      <c r="H166" s="41">
        <f t="shared" ref="H166:I166" si="102">SUM(H167:H168)</f>
        <v>0</v>
      </c>
      <c r="I166" s="41">
        <f t="shared" si="102"/>
        <v>0</v>
      </c>
    </row>
    <row r="167" spans="1:9" ht="24.95" customHeight="1" x14ac:dyDescent="0.25">
      <c r="A167" s="183">
        <v>31</v>
      </c>
      <c r="B167" s="184"/>
      <c r="C167" s="185"/>
      <c r="D167" s="47" t="s">
        <v>14</v>
      </c>
      <c r="E167" s="41">
        <v>78926.570000000007</v>
      </c>
      <c r="F167" s="41"/>
      <c r="G167" s="41"/>
      <c r="H167" s="41"/>
      <c r="I167" s="42"/>
    </row>
    <row r="168" spans="1:9" ht="24.95" customHeight="1" x14ac:dyDescent="0.25">
      <c r="A168" s="183">
        <v>32</v>
      </c>
      <c r="B168" s="184"/>
      <c r="C168" s="185"/>
      <c r="D168" s="49" t="s">
        <v>91</v>
      </c>
      <c r="E168" s="41">
        <v>6281.56</v>
      </c>
      <c r="F168" s="41"/>
      <c r="G168" s="41"/>
      <c r="H168" s="41"/>
      <c r="I168" s="42"/>
    </row>
    <row r="169" spans="1:9" ht="24.95" customHeight="1" x14ac:dyDescent="0.25">
      <c r="A169" s="189" t="s">
        <v>67</v>
      </c>
      <c r="B169" s="190"/>
      <c r="C169" s="191"/>
      <c r="D169" s="48" t="s">
        <v>68</v>
      </c>
      <c r="E169" s="54">
        <f t="shared" ref="E169:G170" si="103">E170</f>
        <v>0</v>
      </c>
      <c r="F169" s="54">
        <f t="shared" si="103"/>
        <v>0</v>
      </c>
      <c r="G169" s="54">
        <f t="shared" si="103"/>
        <v>0</v>
      </c>
      <c r="H169" s="54">
        <f t="shared" ref="H169:I170" si="104">H170</f>
        <v>0</v>
      </c>
      <c r="I169" s="54">
        <f t="shared" si="104"/>
        <v>0</v>
      </c>
    </row>
    <row r="170" spans="1:9" s="63" customFormat="1" ht="24.95" customHeight="1" x14ac:dyDescent="0.25">
      <c r="A170" s="180" t="s">
        <v>72</v>
      </c>
      <c r="B170" s="181"/>
      <c r="C170" s="182"/>
      <c r="D170" s="59" t="s">
        <v>11</v>
      </c>
      <c r="E170" s="60">
        <f t="shared" si="103"/>
        <v>0</v>
      </c>
      <c r="F170" s="60">
        <f t="shared" si="103"/>
        <v>0</v>
      </c>
      <c r="G170" s="60">
        <f t="shared" si="103"/>
        <v>0</v>
      </c>
      <c r="H170" s="60">
        <f t="shared" si="104"/>
        <v>0</v>
      </c>
      <c r="I170" s="60">
        <f t="shared" si="104"/>
        <v>0</v>
      </c>
    </row>
    <row r="171" spans="1:9" ht="24.95" customHeight="1" x14ac:dyDescent="0.25">
      <c r="A171" s="186">
        <v>3</v>
      </c>
      <c r="B171" s="187"/>
      <c r="C171" s="188"/>
      <c r="D171" s="26" t="s">
        <v>13</v>
      </c>
      <c r="E171" s="41">
        <f>E172+E173</f>
        <v>0</v>
      </c>
      <c r="F171" s="41">
        <f>F172+F173</f>
        <v>0</v>
      </c>
      <c r="G171" s="41">
        <f>G172+G173</f>
        <v>0</v>
      </c>
      <c r="H171" s="41">
        <f t="shared" ref="H171:I171" si="105">H172+H173</f>
        <v>0</v>
      </c>
      <c r="I171" s="41">
        <f t="shared" si="105"/>
        <v>0</v>
      </c>
    </row>
    <row r="172" spans="1:9" ht="24.95" customHeight="1" x14ac:dyDescent="0.25">
      <c r="A172" s="183">
        <v>31</v>
      </c>
      <c r="B172" s="184"/>
      <c r="C172" s="185"/>
      <c r="D172" s="26" t="s">
        <v>14</v>
      </c>
      <c r="E172" s="41"/>
      <c r="F172" s="41">
        <v>0</v>
      </c>
      <c r="G172" s="41"/>
      <c r="H172" s="41">
        <v>0</v>
      </c>
      <c r="I172" s="42">
        <v>0</v>
      </c>
    </row>
    <row r="173" spans="1:9" ht="24.95" customHeight="1" x14ac:dyDescent="0.25">
      <c r="A173" s="183">
        <v>32</v>
      </c>
      <c r="B173" s="184"/>
      <c r="C173" s="185"/>
      <c r="D173" s="49" t="s">
        <v>91</v>
      </c>
      <c r="E173" s="41"/>
      <c r="F173" s="41">
        <v>0</v>
      </c>
      <c r="G173" s="41"/>
      <c r="H173" s="41">
        <v>0</v>
      </c>
      <c r="I173" s="42">
        <v>0</v>
      </c>
    </row>
    <row r="174" spans="1:9" ht="24.95" customHeight="1" x14ac:dyDescent="0.25">
      <c r="A174" s="189" t="s">
        <v>69</v>
      </c>
      <c r="B174" s="190"/>
      <c r="C174" s="191"/>
      <c r="D174" s="48" t="s">
        <v>70</v>
      </c>
      <c r="E174" s="54">
        <f>E176</f>
        <v>24598.760000000002</v>
      </c>
      <c r="F174" s="54">
        <f>F176</f>
        <v>33700</v>
      </c>
      <c r="G174" s="54">
        <f>G176</f>
        <v>42000</v>
      </c>
      <c r="H174" s="54">
        <f t="shared" ref="H174:I174" si="106">H176</f>
        <v>42000</v>
      </c>
      <c r="I174" s="54">
        <f t="shared" si="106"/>
        <v>42000</v>
      </c>
    </row>
    <row r="175" spans="1:9" s="63" customFormat="1" ht="24.95" customHeight="1" x14ac:dyDescent="0.25">
      <c r="A175" s="180" t="s">
        <v>72</v>
      </c>
      <c r="B175" s="181"/>
      <c r="C175" s="182"/>
      <c r="D175" s="59" t="s">
        <v>11</v>
      </c>
      <c r="E175" s="60">
        <f>E176</f>
        <v>24598.760000000002</v>
      </c>
      <c r="F175" s="60">
        <f>F176</f>
        <v>33700</v>
      </c>
      <c r="G175" s="60">
        <f>G176</f>
        <v>42000</v>
      </c>
      <c r="H175" s="60">
        <f t="shared" ref="H175:I175" si="107">H176</f>
        <v>42000</v>
      </c>
      <c r="I175" s="60">
        <f t="shared" si="107"/>
        <v>42000</v>
      </c>
    </row>
    <row r="176" spans="1:9" ht="24.95" customHeight="1" x14ac:dyDescent="0.25">
      <c r="A176" s="186">
        <v>3</v>
      </c>
      <c r="B176" s="187"/>
      <c r="C176" s="188"/>
      <c r="D176" s="26" t="s">
        <v>13</v>
      </c>
      <c r="E176" s="41">
        <f>E177+E178</f>
        <v>24598.760000000002</v>
      </c>
      <c r="F176" s="41">
        <f>F177+F178</f>
        <v>33700</v>
      </c>
      <c r="G176" s="41">
        <f>G177+G178</f>
        <v>42000</v>
      </c>
      <c r="H176" s="41">
        <f t="shared" ref="H176:I176" si="108">H177+H178</f>
        <v>42000</v>
      </c>
      <c r="I176" s="41">
        <f t="shared" si="108"/>
        <v>42000</v>
      </c>
    </row>
    <row r="177" spans="1:9" ht="24.95" customHeight="1" x14ac:dyDescent="0.25">
      <c r="A177" s="183">
        <v>31</v>
      </c>
      <c r="B177" s="184"/>
      <c r="C177" s="185"/>
      <c r="D177" s="26" t="s">
        <v>14</v>
      </c>
      <c r="E177" s="41">
        <v>24176.15</v>
      </c>
      <c r="F177" s="41">
        <f>28200+1000+1000</f>
        <v>30200</v>
      </c>
      <c r="G177" s="41">
        <f>33800+1000+1100</f>
        <v>35900</v>
      </c>
      <c r="H177" s="41">
        <f>G177</f>
        <v>35900</v>
      </c>
      <c r="I177" s="42">
        <f>G177</f>
        <v>35900</v>
      </c>
    </row>
    <row r="178" spans="1:9" ht="24.95" customHeight="1" x14ac:dyDescent="0.25">
      <c r="A178" s="183">
        <v>32</v>
      </c>
      <c r="B178" s="184"/>
      <c r="C178" s="185"/>
      <c r="D178" s="49" t="s">
        <v>185</v>
      </c>
      <c r="E178" s="41">
        <v>422.61</v>
      </c>
      <c r="F178" s="41">
        <f>500+1000+2000</f>
        <v>3500</v>
      </c>
      <c r="G178" s="41">
        <f>1500+600+1500+2000+500</f>
        <v>6100</v>
      </c>
      <c r="H178" s="41">
        <f>G178</f>
        <v>6100</v>
      </c>
      <c r="I178" s="42">
        <f>G178</f>
        <v>6100</v>
      </c>
    </row>
    <row r="179" spans="1:9" ht="30" customHeight="1" x14ac:dyDescent="0.25">
      <c r="A179" s="189" t="s">
        <v>181</v>
      </c>
      <c r="B179" s="190"/>
      <c r="C179" s="191"/>
      <c r="D179" s="121" t="s">
        <v>182</v>
      </c>
      <c r="E179" s="54">
        <f>E180+E184+E188</f>
        <v>0</v>
      </c>
      <c r="F179" s="54">
        <f>F180+F184+F188</f>
        <v>0</v>
      </c>
      <c r="G179" s="54">
        <f>G180+G184+G188</f>
        <v>187700</v>
      </c>
      <c r="H179" s="54">
        <f t="shared" ref="H179:I179" si="109">H180+H184+H188</f>
        <v>187700</v>
      </c>
      <c r="I179" s="54">
        <f t="shared" si="109"/>
        <v>187700</v>
      </c>
    </row>
    <row r="180" spans="1:9" s="63" customFormat="1" ht="24.95" customHeight="1" x14ac:dyDescent="0.25">
      <c r="A180" s="180" t="s">
        <v>72</v>
      </c>
      <c r="B180" s="181"/>
      <c r="C180" s="182"/>
      <c r="D180" s="120" t="s">
        <v>11</v>
      </c>
      <c r="E180" s="60">
        <f>E181</f>
        <v>0</v>
      </c>
      <c r="F180" s="60">
        <f>F181</f>
        <v>0</v>
      </c>
      <c r="G180" s="60">
        <f>G181</f>
        <v>47583.439999999995</v>
      </c>
      <c r="H180" s="60">
        <f t="shared" ref="H180:I180" si="110">H181</f>
        <v>47583.439999999995</v>
      </c>
      <c r="I180" s="60">
        <f t="shared" si="110"/>
        <v>47583.439999999995</v>
      </c>
    </row>
    <row r="181" spans="1:9" ht="24.95" customHeight="1" x14ac:dyDescent="0.25">
      <c r="A181" s="186">
        <v>3</v>
      </c>
      <c r="B181" s="187"/>
      <c r="C181" s="188"/>
      <c r="D181" s="122" t="s">
        <v>13</v>
      </c>
      <c r="E181" s="41">
        <f>SUM(E182:E183)</f>
        <v>0</v>
      </c>
      <c r="F181" s="41">
        <f>SUM(F182:F183)</f>
        <v>0</v>
      </c>
      <c r="G181" s="41">
        <f>SUM(G182:G183)</f>
        <v>47583.439999999995</v>
      </c>
      <c r="H181" s="41">
        <f t="shared" ref="H181:I181" si="111">SUM(H182:H183)</f>
        <v>47583.439999999995</v>
      </c>
      <c r="I181" s="41">
        <f t="shared" si="111"/>
        <v>47583.439999999995</v>
      </c>
    </row>
    <row r="182" spans="1:9" ht="24.95" customHeight="1" x14ac:dyDescent="0.25">
      <c r="A182" s="183">
        <v>31</v>
      </c>
      <c r="B182" s="184"/>
      <c r="C182" s="185"/>
      <c r="D182" s="122" t="s">
        <v>14</v>
      </c>
      <c r="E182" s="41"/>
      <c r="F182" s="41"/>
      <c r="G182" s="41">
        <f>37897.09+1491.22+6198.1</f>
        <v>45586.409999999996</v>
      </c>
      <c r="H182" s="41">
        <f>G182</f>
        <v>45586.409999999996</v>
      </c>
      <c r="I182" s="42">
        <f>G182</f>
        <v>45586.409999999996</v>
      </c>
    </row>
    <row r="183" spans="1:9" ht="24.95" customHeight="1" x14ac:dyDescent="0.25">
      <c r="A183" s="183">
        <v>32</v>
      </c>
      <c r="B183" s="184"/>
      <c r="C183" s="185"/>
      <c r="D183" s="122" t="s">
        <v>132</v>
      </c>
      <c r="E183" s="41"/>
      <c r="F183" s="41"/>
      <c r="G183" s="41">
        <f>1956.53+40.5</f>
        <v>1997.03</v>
      </c>
      <c r="H183" s="41">
        <f>G183</f>
        <v>1997.03</v>
      </c>
      <c r="I183" s="42">
        <f>G183</f>
        <v>1997.03</v>
      </c>
    </row>
    <row r="184" spans="1:9" s="63" customFormat="1" ht="24.95" customHeight="1" x14ac:dyDescent="0.25">
      <c r="A184" s="180" t="s">
        <v>170</v>
      </c>
      <c r="B184" s="181"/>
      <c r="C184" s="182"/>
      <c r="D184" s="120" t="s">
        <v>172</v>
      </c>
      <c r="E184" s="60">
        <f>E185</f>
        <v>0</v>
      </c>
      <c r="F184" s="60">
        <f>F185</f>
        <v>0</v>
      </c>
      <c r="G184" s="60">
        <f>G185</f>
        <v>21017.489999999998</v>
      </c>
      <c r="H184" s="60">
        <f t="shared" ref="H184:I184" si="112">H185</f>
        <v>21017.489999999998</v>
      </c>
      <c r="I184" s="60">
        <f t="shared" si="112"/>
        <v>21017.489999999998</v>
      </c>
    </row>
    <row r="185" spans="1:9" ht="24.95" customHeight="1" x14ac:dyDescent="0.25">
      <c r="A185" s="186">
        <v>3</v>
      </c>
      <c r="B185" s="187"/>
      <c r="C185" s="188"/>
      <c r="D185" s="122" t="s">
        <v>13</v>
      </c>
      <c r="E185" s="41">
        <f>SUM(E186:E187)</f>
        <v>0</v>
      </c>
      <c r="F185" s="41">
        <f>SUM(F186:F187)</f>
        <v>0</v>
      </c>
      <c r="G185" s="41">
        <f>SUM(G186:G187)</f>
        <v>21017.489999999998</v>
      </c>
      <c r="H185" s="41">
        <f t="shared" ref="H185:I185" si="113">SUM(H186:H187)</f>
        <v>21017.489999999998</v>
      </c>
      <c r="I185" s="41">
        <f t="shared" si="113"/>
        <v>21017.489999999998</v>
      </c>
    </row>
    <row r="186" spans="1:9" ht="24.95" customHeight="1" x14ac:dyDescent="0.25">
      <c r="A186" s="183">
        <v>31</v>
      </c>
      <c r="B186" s="184"/>
      <c r="C186" s="185"/>
      <c r="D186" s="122" t="s">
        <v>14</v>
      </c>
      <c r="E186" s="41"/>
      <c r="F186" s="41"/>
      <c r="G186" s="41">
        <f>2643.94+1267.53+16119.33</f>
        <v>20030.8</v>
      </c>
      <c r="H186" s="41">
        <f>G186</f>
        <v>20030.8</v>
      </c>
      <c r="I186" s="42">
        <f>G186</f>
        <v>20030.8</v>
      </c>
    </row>
    <row r="187" spans="1:9" ht="24.95" customHeight="1" x14ac:dyDescent="0.25">
      <c r="A187" s="183">
        <v>32</v>
      </c>
      <c r="B187" s="184"/>
      <c r="C187" s="185"/>
      <c r="D187" s="122" t="s">
        <v>91</v>
      </c>
      <c r="E187" s="41"/>
      <c r="F187" s="41"/>
      <c r="G187" s="41">
        <f>952.26+34.43</f>
        <v>986.68999999999994</v>
      </c>
      <c r="H187" s="41">
        <f>G187</f>
        <v>986.68999999999994</v>
      </c>
      <c r="I187" s="42">
        <f>G187</f>
        <v>986.68999999999994</v>
      </c>
    </row>
    <row r="188" spans="1:9" s="63" customFormat="1" ht="24.95" customHeight="1" x14ac:dyDescent="0.25">
      <c r="A188" s="180" t="s">
        <v>88</v>
      </c>
      <c r="B188" s="181"/>
      <c r="C188" s="182"/>
      <c r="D188" s="120" t="s">
        <v>45</v>
      </c>
      <c r="E188" s="60">
        <f>E189</f>
        <v>0</v>
      </c>
      <c r="F188" s="60">
        <f>F189</f>
        <v>0</v>
      </c>
      <c r="G188" s="60">
        <f>G189</f>
        <v>119099.07</v>
      </c>
      <c r="H188" s="60">
        <f t="shared" ref="H188:I188" si="114">H189</f>
        <v>119099.07</v>
      </c>
      <c r="I188" s="60">
        <f t="shared" si="114"/>
        <v>119099.07</v>
      </c>
    </row>
    <row r="189" spans="1:9" ht="24.95" customHeight="1" x14ac:dyDescent="0.25">
      <c r="A189" s="186">
        <v>3</v>
      </c>
      <c r="B189" s="187"/>
      <c r="C189" s="188"/>
      <c r="D189" s="122" t="s">
        <v>13</v>
      </c>
      <c r="E189" s="41">
        <f>SUM(E190:E191)</f>
        <v>0</v>
      </c>
      <c r="F189" s="41">
        <f>SUM(F190:F191)</f>
        <v>0</v>
      </c>
      <c r="G189" s="41">
        <f>SUM(G190:G191)</f>
        <v>119099.07</v>
      </c>
      <c r="H189" s="41">
        <f t="shared" ref="H189:I189" si="115">SUM(H190:H191)</f>
        <v>119099.07</v>
      </c>
      <c r="I189" s="41">
        <f t="shared" si="115"/>
        <v>119099.07</v>
      </c>
    </row>
    <row r="190" spans="1:9" ht="24.95" customHeight="1" x14ac:dyDescent="0.25">
      <c r="A190" s="183">
        <v>31</v>
      </c>
      <c r="B190" s="184"/>
      <c r="C190" s="185"/>
      <c r="D190" s="122" t="s">
        <v>14</v>
      </c>
      <c r="E190" s="41"/>
      <c r="F190" s="41"/>
      <c r="G190" s="41">
        <f>91342.84+7182.69+14982.3</f>
        <v>113507.83</v>
      </c>
      <c r="H190" s="41">
        <f>G190</f>
        <v>113507.83</v>
      </c>
      <c r="I190" s="42">
        <f>G190</f>
        <v>113507.83</v>
      </c>
    </row>
    <row r="191" spans="1:9" ht="24.95" customHeight="1" x14ac:dyDescent="0.25">
      <c r="A191" s="183">
        <v>32</v>
      </c>
      <c r="B191" s="184"/>
      <c r="C191" s="185"/>
      <c r="D191" s="122" t="s">
        <v>91</v>
      </c>
      <c r="E191" s="41"/>
      <c r="F191" s="41"/>
      <c r="G191" s="41">
        <f>195.08+5396.16</f>
        <v>5591.24</v>
      </c>
      <c r="H191" s="41">
        <f>G191</f>
        <v>5591.24</v>
      </c>
      <c r="I191" s="42">
        <f>G191</f>
        <v>5591.24</v>
      </c>
    </row>
  </sheetData>
  <mergeCells count="184">
    <mergeCell ref="A109:C109"/>
    <mergeCell ref="A118:C118"/>
    <mergeCell ref="A119:C119"/>
    <mergeCell ref="A114:C114"/>
    <mergeCell ref="A115:C115"/>
    <mergeCell ref="A130:C130"/>
    <mergeCell ref="A142:C142"/>
    <mergeCell ref="A143:C143"/>
    <mergeCell ref="A74:C74"/>
    <mergeCell ref="A76:C76"/>
    <mergeCell ref="A83:C83"/>
    <mergeCell ref="A85:C85"/>
    <mergeCell ref="A92:C92"/>
    <mergeCell ref="A135:C135"/>
    <mergeCell ref="A106:C106"/>
    <mergeCell ref="A100:C100"/>
    <mergeCell ref="A107:C107"/>
    <mergeCell ref="A121:C121"/>
    <mergeCell ref="A90:C90"/>
    <mergeCell ref="A91:C91"/>
    <mergeCell ref="A93:C93"/>
    <mergeCell ref="A94:C94"/>
    <mergeCell ref="A78:C78"/>
    <mergeCell ref="A97:C97"/>
    <mergeCell ref="A6:C6"/>
    <mergeCell ref="A7:C7"/>
    <mergeCell ref="A3:I3"/>
    <mergeCell ref="A5:C5"/>
    <mergeCell ref="A14:C14"/>
    <mergeCell ref="A159:C159"/>
    <mergeCell ref="A133:C133"/>
    <mergeCell ref="A134:C134"/>
    <mergeCell ref="A126:C126"/>
    <mergeCell ref="A127:C127"/>
    <mergeCell ref="A128:C128"/>
    <mergeCell ref="A129:C129"/>
    <mergeCell ref="A132:C132"/>
    <mergeCell ref="A131:C131"/>
    <mergeCell ref="A136:C136"/>
    <mergeCell ref="A137:C137"/>
    <mergeCell ref="A138:C138"/>
    <mergeCell ref="A139:C139"/>
    <mergeCell ref="A140:C140"/>
    <mergeCell ref="A141:C141"/>
    <mergeCell ref="A150:C150"/>
    <mergeCell ref="A8:C8"/>
    <mergeCell ref="A9:C9"/>
    <mergeCell ref="A10:C10"/>
    <mergeCell ref="A36:C36"/>
    <mergeCell ref="A17:C17"/>
    <mergeCell ref="A18:C18"/>
    <mergeCell ref="A21:C21"/>
    <mergeCell ref="A22:C22"/>
    <mergeCell ref="A15:C15"/>
    <mergeCell ref="A16:C16"/>
    <mergeCell ref="A19:C19"/>
    <mergeCell ref="A20:C20"/>
    <mergeCell ref="A35:C35"/>
    <mergeCell ref="A27:C27"/>
    <mergeCell ref="A28:C28"/>
    <mergeCell ref="A29:C29"/>
    <mergeCell ref="A30:C30"/>
    <mergeCell ref="A62:C62"/>
    <mergeCell ref="A53:C53"/>
    <mergeCell ref="A37:C37"/>
    <mergeCell ref="A38:C38"/>
    <mergeCell ref="A39:C39"/>
    <mergeCell ref="A40:C40"/>
    <mergeCell ref="A41:C41"/>
    <mergeCell ref="A42:C42"/>
    <mergeCell ref="A45:C45"/>
    <mergeCell ref="A185:C185"/>
    <mergeCell ref="A162:C162"/>
    <mergeCell ref="A163:C163"/>
    <mergeCell ref="A147:C147"/>
    <mergeCell ref="A148:C148"/>
    <mergeCell ref="A149:C149"/>
    <mergeCell ref="A179:C179"/>
    <mergeCell ref="A71:C71"/>
    <mergeCell ref="A81:C81"/>
    <mergeCell ref="A82:C82"/>
    <mergeCell ref="A86:C86"/>
    <mergeCell ref="A87:C87"/>
    <mergeCell ref="A84:C84"/>
    <mergeCell ref="A88:C88"/>
    <mergeCell ref="A89:C89"/>
    <mergeCell ref="A95:C95"/>
    <mergeCell ref="A72:C72"/>
    <mergeCell ref="A75:C75"/>
    <mergeCell ref="A77:C77"/>
    <mergeCell ref="A98:C98"/>
    <mergeCell ref="A105:C105"/>
    <mergeCell ref="A158:C158"/>
    <mergeCell ref="A160:C160"/>
    <mergeCell ref="A152:C152"/>
    <mergeCell ref="A180:C180"/>
    <mergeCell ref="A181:C181"/>
    <mergeCell ref="A182:C182"/>
    <mergeCell ref="A183:C183"/>
    <mergeCell ref="A184:C184"/>
    <mergeCell ref="A153:C153"/>
    <mergeCell ref="A154:C154"/>
    <mergeCell ref="A172:C172"/>
    <mergeCell ref="A177:C177"/>
    <mergeCell ref="A169:C169"/>
    <mergeCell ref="A170:C170"/>
    <mergeCell ref="A171:C171"/>
    <mergeCell ref="A173:C173"/>
    <mergeCell ref="A165:C165"/>
    <mergeCell ref="A166:C166"/>
    <mergeCell ref="A167:C167"/>
    <mergeCell ref="A168:C168"/>
    <mergeCell ref="A186:C186"/>
    <mergeCell ref="A187:C187"/>
    <mergeCell ref="A188:C188"/>
    <mergeCell ref="A189:C189"/>
    <mergeCell ref="A190:C190"/>
    <mergeCell ref="A191:C191"/>
    <mergeCell ref="A123:C123"/>
    <mergeCell ref="A99:C99"/>
    <mergeCell ref="A101:C101"/>
    <mergeCell ref="A102:C102"/>
    <mergeCell ref="A112:C112"/>
    <mergeCell ref="A113:C113"/>
    <mergeCell ref="A122:C122"/>
    <mergeCell ref="A144:C144"/>
    <mergeCell ref="A161:C161"/>
    <mergeCell ref="A174:C174"/>
    <mergeCell ref="A175:C175"/>
    <mergeCell ref="A176:C176"/>
    <mergeCell ref="A178:C178"/>
    <mergeCell ref="A164:C164"/>
    <mergeCell ref="A151:C151"/>
    <mergeCell ref="A155:C155"/>
    <mergeCell ref="A156:C156"/>
    <mergeCell ref="A157:C157"/>
    <mergeCell ref="A146:C146"/>
    <mergeCell ref="A23:C23"/>
    <mergeCell ref="A24:C24"/>
    <mergeCell ref="A25:C25"/>
    <mergeCell ref="A26:C26"/>
    <mergeCell ref="A31:C31"/>
    <mergeCell ref="A32:C32"/>
    <mergeCell ref="A33:C33"/>
    <mergeCell ref="A34:C34"/>
    <mergeCell ref="A79:C79"/>
    <mergeCell ref="A80:C80"/>
    <mergeCell ref="A116:C116"/>
    <mergeCell ref="A117:C117"/>
    <mergeCell ref="A120:C120"/>
    <mergeCell ref="A66:C66"/>
    <mergeCell ref="A67:C67"/>
    <mergeCell ref="A68:C68"/>
    <mergeCell ref="A69:C69"/>
    <mergeCell ref="A96:C96"/>
    <mergeCell ref="A70:C70"/>
    <mergeCell ref="A73:C73"/>
    <mergeCell ref="A110:C110"/>
    <mergeCell ref="A111:C111"/>
    <mergeCell ref="A108:C108"/>
    <mergeCell ref="A124:C124"/>
    <mergeCell ref="A125:C125"/>
    <mergeCell ref="A1:I1"/>
    <mergeCell ref="A46:C46"/>
    <mergeCell ref="A47:C47"/>
    <mergeCell ref="A48:C48"/>
    <mergeCell ref="A103:C103"/>
    <mergeCell ref="A104:C104"/>
    <mergeCell ref="A145:C145"/>
    <mergeCell ref="A11:C11"/>
    <mergeCell ref="A12:C12"/>
    <mergeCell ref="A13:C13"/>
    <mergeCell ref="A51:C51"/>
    <mergeCell ref="A54:C54"/>
    <mergeCell ref="A55:C55"/>
    <mergeCell ref="A58:C58"/>
    <mergeCell ref="A65:C65"/>
    <mergeCell ref="A52:C52"/>
    <mergeCell ref="A49:C49"/>
    <mergeCell ref="A50:C50"/>
    <mergeCell ref="A43:C43"/>
    <mergeCell ref="A44:C44"/>
    <mergeCell ref="A63:C63"/>
    <mergeCell ref="A64:C64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zoomScaleNormal="100" workbookViewId="0">
      <selection activeCell="M53" sqref="M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7" width="25.28515625" customWidth="1"/>
    <col min="11" max="11" width="9.42578125" customWidth="1"/>
  </cols>
  <sheetData>
    <row r="1" spans="1:9" ht="42" customHeight="1" x14ac:dyDescent="0.25">
      <c r="A1" s="145" t="s">
        <v>152</v>
      </c>
      <c r="B1" s="145"/>
      <c r="C1" s="145"/>
      <c r="D1" s="145"/>
      <c r="E1" s="145"/>
      <c r="F1" s="145"/>
      <c r="G1" s="145"/>
      <c r="H1" s="128"/>
      <c r="I1" s="128"/>
    </row>
    <row r="2" spans="1:9" ht="18" x14ac:dyDescent="0.25">
      <c r="A2" s="18"/>
      <c r="B2" s="18"/>
      <c r="C2" s="18"/>
      <c r="D2" s="18"/>
      <c r="E2" s="18"/>
      <c r="F2" s="5"/>
      <c r="G2" s="5"/>
    </row>
    <row r="3" spans="1:9" ht="18" customHeight="1" x14ac:dyDescent="0.25">
      <c r="A3" s="145" t="s">
        <v>19</v>
      </c>
      <c r="B3" s="146"/>
      <c r="C3" s="146"/>
      <c r="D3" s="146"/>
      <c r="E3" s="146"/>
      <c r="F3" s="146"/>
      <c r="G3" s="146"/>
    </row>
    <row r="4" spans="1:9" ht="18" x14ac:dyDescent="0.25">
      <c r="A4" s="18"/>
      <c r="B4" s="18"/>
      <c r="C4" s="35" t="s">
        <v>43</v>
      </c>
      <c r="D4" s="18"/>
      <c r="E4" s="46">
        <f>E6+E121</f>
        <v>5095713.87</v>
      </c>
      <c r="F4" s="46">
        <f>F6+F121</f>
        <v>5073105.4600000009</v>
      </c>
      <c r="G4" s="46">
        <f>G6+G121</f>
        <v>5073105.4600000009</v>
      </c>
    </row>
    <row r="5" spans="1:9" ht="25.5" x14ac:dyDescent="0.25">
      <c r="A5" s="168" t="s">
        <v>21</v>
      </c>
      <c r="B5" s="198"/>
      <c r="C5" s="199"/>
      <c r="D5" s="133" t="s">
        <v>22</v>
      </c>
      <c r="E5" s="14" t="s">
        <v>154</v>
      </c>
      <c r="F5" s="14" t="s">
        <v>125</v>
      </c>
      <c r="G5" s="14" t="s">
        <v>155</v>
      </c>
    </row>
    <row r="6" spans="1:9" ht="37.15" customHeight="1" x14ac:dyDescent="0.25">
      <c r="A6" s="195" t="s">
        <v>108</v>
      </c>
      <c r="B6" s="196"/>
      <c r="C6" s="197"/>
      <c r="D6" s="140" t="s">
        <v>109</v>
      </c>
      <c r="E6" s="56">
        <f>E7+E11+E15+E19+E32+E62+E93+E102+E23+E28+E27</f>
        <v>4570813.87</v>
      </c>
      <c r="F6" s="56">
        <f t="shared" ref="F6:G6" si="0">F7+F11+F15+F19+F32+F62+F93+F102+F23+F28+F27</f>
        <v>4548205.4600000009</v>
      </c>
      <c r="G6" s="56">
        <f t="shared" si="0"/>
        <v>4548205.4600000009</v>
      </c>
    </row>
    <row r="7" spans="1:9" ht="24.95" customHeight="1" x14ac:dyDescent="0.25">
      <c r="A7" s="189" t="s">
        <v>46</v>
      </c>
      <c r="B7" s="190"/>
      <c r="C7" s="191"/>
      <c r="D7" s="139" t="s">
        <v>168</v>
      </c>
      <c r="E7" s="54">
        <f>E9</f>
        <v>131055</v>
      </c>
      <c r="F7" s="54">
        <f t="shared" ref="F7:G7" si="1">F9</f>
        <v>131055</v>
      </c>
      <c r="G7" s="54">
        <f t="shared" si="1"/>
        <v>131055</v>
      </c>
    </row>
    <row r="8" spans="1:9" s="61" customFormat="1" ht="0.95" customHeight="1" x14ac:dyDescent="0.2">
      <c r="A8" s="180" t="s">
        <v>72</v>
      </c>
      <c r="B8" s="181"/>
      <c r="C8" s="182"/>
      <c r="D8" s="134" t="s">
        <v>11</v>
      </c>
      <c r="E8" s="60">
        <f t="shared" ref="E8:G9" si="2">E9</f>
        <v>131055</v>
      </c>
      <c r="F8" s="60">
        <f t="shared" si="2"/>
        <v>131055</v>
      </c>
      <c r="G8" s="60">
        <f t="shared" si="2"/>
        <v>131055</v>
      </c>
    </row>
    <row r="9" spans="1:9" ht="0.95" customHeight="1" x14ac:dyDescent="0.25">
      <c r="A9" s="186">
        <v>3</v>
      </c>
      <c r="B9" s="187"/>
      <c r="C9" s="188"/>
      <c r="D9" s="138" t="s">
        <v>13</v>
      </c>
      <c r="E9" s="41">
        <f t="shared" si="2"/>
        <v>131055</v>
      </c>
      <c r="F9" s="41">
        <f t="shared" si="2"/>
        <v>131055</v>
      </c>
      <c r="G9" s="41">
        <f t="shared" si="2"/>
        <v>131055</v>
      </c>
    </row>
    <row r="10" spans="1:9" ht="0.95" customHeight="1" x14ac:dyDescent="0.25">
      <c r="A10" s="183">
        <v>32</v>
      </c>
      <c r="B10" s="184"/>
      <c r="C10" s="185"/>
      <c r="D10" s="138" t="s">
        <v>23</v>
      </c>
      <c r="E10" s="41">
        <v>131055</v>
      </c>
      <c r="F10" s="41">
        <f>E10</f>
        <v>131055</v>
      </c>
      <c r="G10" s="42">
        <f>E10</f>
        <v>131055</v>
      </c>
    </row>
    <row r="11" spans="1:9" ht="24.95" customHeight="1" x14ac:dyDescent="0.25">
      <c r="A11" s="189" t="s">
        <v>47</v>
      </c>
      <c r="B11" s="190"/>
      <c r="C11" s="191"/>
      <c r="D11" s="139" t="s">
        <v>169</v>
      </c>
      <c r="E11" s="54">
        <f>E13</f>
        <v>45</v>
      </c>
      <c r="F11" s="54">
        <f t="shared" ref="F11:G11" si="3">F13</f>
        <v>45</v>
      </c>
      <c r="G11" s="54">
        <f t="shared" si="3"/>
        <v>45</v>
      </c>
    </row>
    <row r="12" spans="1:9" s="63" customFormat="1" ht="0.95" customHeight="1" x14ac:dyDescent="0.25">
      <c r="A12" s="180" t="s">
        <v>72</v>
      </c>
      <c r="B12" s="181"/>
      <c r="C12" s="182"/>
      <c r="D12" s="134" t="s">
        <v>11</v>
      </c>
      <c r="E12" s="60">
        <f t="shared" ref="E12:G13" si="4">E13</f>
        <v>45</v>
      </c>
      <c r="F12" s="60">
        <f t="shared" si="4"/>
        <v>45</v>
      </c>
      <c r="G12" s="60">
        <f t="shared" si="4"/>
        <v>45</v>
      </c>
    </row>
    <row r="13" spans="1:9" ht="0.95" customHeight="1" x14ac:dyDescent="0.25">
      <c r="A13" s="186">
        <v>3</v>
      </c>
      <c r="B13" s="187"/>
      <c r="C13" s="188"/>
      <c r="D13" s="138" t="s">
        <v>13</v>
      </c>
      <c r="E13" s="41">
        <f t="shared" si="4"/>
        <v>45</v>
      </c>
      <c r="F13" s="41">
        <f t="shared" si="4"/>
        <v>45</v>
      </c>
      <c r="G13" s="41">
        <f t="shared" si="4"/>
        <v>45</v>
      </c>
    </row>
    <row r="14" spans="1:9" ht="0.95" customHeight="1" x14ac:dyDescent="0.25">
      <c r="A14" s="183">
        <v>34</v>
      </c>
      <c r="B14" s="184"/>
      <c r="C14" s="185"/>
      <c r="D14" s="138" t="s">
        <v>48</v>
      </c>
      <c r="E14" s="41">
        <v>45</v>
      </c>
      <c r="F14" s="41">
        <f>E14</f>
        <v>45</v>
      </c>
      <c r="G14" s="42">
        <f>E14</f>
        <v>45</v>
      </c>
    </row>
    <row r="15" spans="1:9" ht="24.95" customHeight="1" x14ac:dyDescent="0.25">
      <c r="A15" s="189" t="s">
        <v>49</v>
      </c>
      <c r="B15" s="190"/>
      <c r="C15" s="191"/>
      <c r="D15" s="139" t="s">
        <v>171</v>
      </c>
      <c r="E15" s="54">
        <f>E17</f>
        <v>11800</v>
      </c>
      <c r="F15" s="54">
        <f t="shared" ref="F15:G15" si="5">F17</f>
        <v>11800</v>
      </c>
      <c r="G15" s="54">
        <f t="shared" si="5"/>
        <v>11800</v>
      </c>
    </row>
    <row r="16" spans="1:9" s="63" customFormat="1" ht="0.95" customHeight="1" x14ac:dyDescent="0.25">
      <c r="A16" s="180" t="s">
        <v>170</v>
      </c>
      <c r="B16" s="181"/>
      <c r="C16" s="182"/>
      <c r="D16" s="134" t="s">
        <v>172</v>
      </c>
      <c r="E16" s="60">
        <f t="shared" ref="E16:G17" si="6">E17</f>
        <v>11800</v>
      </c>
      <c r="F16" s="60">
        <f t="shared" si="6"/>
        <v>11800</v>
      </c>
      <c r="G16" s="60">
        <f t="shared" si="6"/>
        <v>11800</v>
      </c>
    </row>
    <row r="17" spans="1:7" ht="0.95" customHeight="1" x14ac:dyDescent="0.25">
      <c r="A17" s="186">
        <v>4</v>
      </c>
      <c r="B17" s="187"/>
      <c r="C17" s="188"/>
      <c r="D17" s="138" t="s">
        <v>15</v>
      </c>
      <c r="E17" s="41">
        <f t="shared" si="6"/>
        <v>11800</v>
      </c>
      <c r="F17" s="41">
        <f t="shared" si="6"/>
        <v>11800</v>
      </c>
      <c r="G17" s="41">
        <f t="shared" si="6"/>
        <v>11800</v>
      </c>
    </row>
    <row r="18" spans="1:7" ht="0.95" customHeight="1" x14ac:dyDescent="0.25">
      <c r="A18" s="183">
        <v>42</v>
      </c>
      <c r="B18" s="184"/>
      <c r="C18" s="185"/>
      <c r="D18" s="138" t="s">
        <v>29</v>
      </c>
      <c r="E18" s="41">
        <v>11800</v>
      </c>
      <c r="F18" s="41">
        <f>E18</f>
        <v>11800</v>
      </c>
      <c r="G18" s="42">
        <f>E18</f>
        <v>11800</v>
      </c>
    </row>
    <row r="19" spans="1:7" ht="32.450000000000003" customHeight="1" x14ac:dyDescent="0.25">
      <c r="A19" s="189" t="s">
        <v>50</v>
      </c>
      <c r="B19" s="190"/>
      <c r="C19" s="191"/>
      <c r="D19" s="139" t="s">
        <v>173</v>
      </c>
      <c r="E19" s="54">
        <f>E21</f>
        <v>45200</v>
      </c>
      <c r="F19" s="54">
        <f t="shared" ref="F19:G19" si="7">F21</f>
        <v>45200</v>
      </c>
      <c r="G19" s="54">
        <f t="shared" si="7"/>
        <v>45200</v>
      </c>
    </row>
    <row r="20" spans="1:7" s="63" customFormat="1" ht="0.95" customHeight="1" x14ac:dyDescent="0.25">
      <c r="A20" s="180" t="s">
        <v>170</v>
      </c>
      <c r="B20" s="181"/>
      <c r="C20" s="182"/>
      <c r="D20" s="134" t="s">
        <v>172</v>
      </c>
      <c r="E20" s="60">
        <f t="shared" ref="E20:G21" si="8">E21</f>
        <v>45200</v>
      </c>
      <c r="F20" s="60">
        <f t="shared" si="8"/>
        <v>45200</v>
      </c>
      <c r="G20" s="60">
        <f t="shared" si="8"/>
        <v>45200</v>
      </c>
    </row>
    <row r="21" spans="1:7" ht="0.95" customHeight="1" x14ac:dyDescent="0.25">
      <c r="A21" s="186">
        <v>4</v>
      </c>
      <c r="B21" s="187"/>
      <c r="C21" s="188"/>
      <c r="D21" s="138" t="s">
        <v>15</v>
      </c>
      <c r="E21" s="41">
        <f t="shared" si="8"/>
        <v>45200</v>
      </c>
      <c r="F21" s="41">
        <f t="shared" si="8"/>
        <v>45200</v>
      </c>
      <c r="G21" s="41">
        <f t="shared" si="8"/>
        <v>45200</v>
      </c>
    </row>
    <row r="22" spans="1:7" ht="0.95" customHeight="1" x14ac:dyDescent="0.25">
      <c r="A22" s="183">
        <v>45</v>
      </c>
      <c r="B22" s="184"/>
      <c r="C22" s="185"/>
      <c r="D22" s="36" t="s">
        <v>35</v>
      </c>
      <c r="E22" s="41">
        <v>45200</v>
      </c>
      <c r="F22" s="41">
        <f>E22</f>
        <v>45200</v>
      </c>
      <c r="G22" s="42">
        <f>E22</f>
        <v>45200</v>
      </c>
    </row>
    <row r="23" spans="1:7" ht="31.15" customHeight="1" x14ac:dyDescent="0.25">
      <c r="A23" s="189" t="s">
        <v>174</v>
      </c>
      <c r="B23" s="190"/>
      <c r="C23" s="191"/>
      <c r="D23" s="139" t="s">
        <v>175</v>
      </c>
      <c r="E23" s="54">
        <v>70780</v>
      </c>
      <c r="F23" s="54">
        <v>70780</v>
      </c>
      <c r="G23" s="54">
        <v>70780</v>
      </c>
    </row>
    <row r="24" spans="1:7" s="61" customFormat="1" ht="0.95" customHeight="1" x14ac:dyDescent="0.2">
      <c r="A24" s="180" t="s">
        <v>72</v>
      </c>
      <c r="B24" s="181"/>
      <c r="C24" s="182"/>
      <c r="D24" s="134" t="s">
        <v>11</v>
      </c>
      <c r="E24" s="60">
        <f t="shared" ref="E24:G25" si="9">E25</f>
        <v>65780</v>
      </c>
      <c r="F24" s="60">
        <f t="shared" si="9"/>
        <v>65780</v>
      </c>
      <c r="G24" s="60">
        <f t="shared" si="9"/>
        <v>65780</v>
      </c>
    </row>
    <row r="25" spans="1:7" ht="0.95" customHeight="1" x14ac:dyDescent="0.25">
      <c r="A25" s="186">
        <v>3</v>
      </c>
      <c r="B25" s="187"/>
      <c r="C25" s="188"/>
      <c r="D25" s="138" t="s">
        <v>13</v>
      </c>
      <c r="E25" s="41">
        <f t="shared" si="9"/>
        <v>65780</v>
      </c>
      <c r="F25" s="41">
        <f t="shared" si="9"/>
        <v>65780</v>
      </c>
      <c r="G25" s="41">
        <f t="shared" si="9"/>
        <v>65780</v>
      </c>
    </row>
    <row r="26" spans="1:7" ht="0.95" customHeight="1" x14ac:dyDescent="0.25">
      <c r="A26" s="183">
        <v>32</v>
      </c>
      <c r="B26" s="184"/>
      <c r="C26" s="185"/>
      <c r="D26" s="138" t="s">
        <v>23</v>
      </c>
      <c r="E26" s="41">
        <v>65780</v>
      </c>
      <c r="F26" s="41">
        <f>E26</f>
        <v>65780</v>
      </c>
      <c r="G26" s="42">
        <f>E26</f>
        <v>65780</v>
      </c>
    </row>
    <row r="27" spans="1:7" ht="24.95" customHeight="1" x14ac:dyDescent="0.25">
      <c r="A27" s="189" t="s">
        <v>190</v>
      </c>
      <c r="B27" s="190"/>
      <c r="C27" s="191"/>
      <c r="D27" s="139" t="s">
        <v>187</v>
      </c>
      <c r="E27" s="54">
        <v>5000</v>
      </c>
      <c r="F27" s="54">
        <v>5000</v>
      </c>
      <c r="G27" s="54">
        <v>5000</v>
      </c>
    </row>
    <row r="28" spans="1:7" ht="32.450000000000003" customHeight="1" x14ac:dyDescent="0.25">
      <c r="A28" s="189" t="s">
        <v>176</v>
      </c>
      <c r="B28" s="190"/>
      <c r="C28" s="191"/>
      <c r="D28" s="139" t="s">
        <v>177</v>
      </c>
      <c r="E28" s="54">
        <f>E30</f>
        <v>80000</v>
      </c>
      <c r="F28" s="54">
        <f t="shared" ref="F28:G28" si="10">F30</f>
        <v>80000</v>
      </c>
      <c r="G28" s="54">
        <f t="shared" si="10"/>
        <v>80000</v>
      </c>
    </row>
    <row r="29" spans="1:7" s="63" customFormat="1" ht="0.95" customHeight="1" x14ac:dyDescent="0.25">
      <c r="A29" s="180" t="s">
        <v>170</v>
      </c>
      <c r="B29" s="181"/>
      <c r="C29" s="182"/>
      <c r="D29" s="134" t="s">
        <v>172</v>
      </c>
      <c r="E29" s="60">
        <f t="shared" ref="E29:G30" si="11">E30</f>
        <v>80000</v>
      </c>
      <c r="F29" s="60">
        <f t="shared" si="11"/>
        <v>80000</v>
      </c>
      <c r="G29" s="60">
        <f t="shared" si="11"/>
        <v>80000</v>
      </c>
    </row>
    <row r="30" spans="1:7" ht="0.95" customHeight="1" x14ac:dyDescent="0.25">
      <c r="A30" s="186">
        <v>4</v>
      </c>
      <c r="B30" s="187"/>
      <c r="C30" s="188"/>
      <c r="D30" s="138" t="s">
        <v>15</v>
      </c>
      <c r="E30" s="41">
        <f t="shared" si="11"/>
        <v>80000</v>
      </c>
      <c r="F30" s="41">
        <f t="shared" si="11"/>
        <v>80000</v>
      </c>
      <c r="G30" s="41">
        <f t="shared" si="11"/>
        <v>80000</v>
      </c>
    </row>
    <row r="31" spans="1:7" ht="0.95" customHeight="1" x14ac:dyDescent="0.25">
      <c r="A31" s="183">
        <v>45</v>
      </c>
      <c r="B31" s="184"/>
      <c r="C31" s="185"/>
      <c r="D31" s="36" t="s">
        <v>35</v>
      </c>
      <c r="E31" s="41">
        <v>80000</v>
      </c>
      <c r="F31" s="41">
        <f>E31</f>
        <v>80000</v>
      </c>
      <c r="G31" s="42">
        <f>E31</f>
        <v>80000</v>
      </c>
    </row>
    <row r="32" spans="1:7" ht="32.450000000000003" customHeight="1" x14ac:dyDescent="0.25">
      <c r="A32" s="189" t="s">
        <v>51</v>
      </c>
      <c r="B32" s="190"/>
      <c r="C32" s="191"/>
      <c r="D32" s="139" t="s">
        <v>52</v>
      </c>
      <c r="E32" s="54">
        <v>3740997.23</v>
      </c>
      <c r="F32" s="54">
        <v>3740997.23</v>
      </c>
      <c r="G32" s="54">
        <v>3740997.23</v>
      </c>
    </row>
    <row r="33" spans="1:7" s="63" customFormat="1" ht="0.95" customHeight="1" x14ac:dyDescent="0.25">
      <c r="A33" s="180" t="s">
        <v>73</v>
      </c>
      <c r="B33" s="181"/>
      <c r="C33" s="182"/>
      <c r="D33" s="134" t="s">
        <v>74</v>
      </c>
      <c r="E33" s="60">
        <f t="shared" ref="E33:G34" si="12">E34</f>
        <v>0</v>
      </c>
      <c r="F33" s="60">
        <f t="shared" si="12"/>
        <v>0</v>
      </c>
      <c r="G33" s="60">
        <f t="shared" si="12"/>
        <v>0</v>
      </c>
    </row>
    <row r="34" spans="1:7" ht="0.95" customHeight="1" x14ac:dyDescent="0.25">
      <c r="A34" s="186">
        <v>3</v>
      </c>
      <c r="B34" s="187"/>
      <c r="C34" s="188"/>
      <c r="D34" s="138" t="s">
        <v>13</v>
      </c>
      <c r="E34" s="41">
        <f t="shared" si="12"/>
        <v>0</v>
      </c>
      <c r="F34" s="41">
        <f t="shared" si="12"/>
        <v>0</v>
      </c>
      <c r="G34" s="41">
        <f t="shared" si="12"/>
        <v>0</v>
      </c>
    </row>
    <row r="35" spans="1:7" ht="0.95" customHeight="1" x14ac:dyDescent="0.25">
      <c r="A35" s="183">
        <v>31</v>
      </c>
      <c r="B35" s="184"/>
      <c r="C35" s="185"/>
      <c r="D35" s="138" t="s">
        <v>102</v>
      </c>
      <c r="E35" s="41"/>
      <c r="F35" s="41">
        <v>0</v>
      </c>
      <c r="G35" s="42">
        <v>0</v>
      </c>
    </row>
    <row r="36" spans="1:7" s="63" customFormat="1" ht="0.95" customHeight="1" x14ac:dyDescent="0.25">
      <c r="A36" s="180" t="s">
        <v>98</v>
      </c>
      <c r="B36" s="181"/>
      <c r="C36" s="182"/>
      <c r="D36" s="134" t="s">
        <v>79</v>
      </c>
      <c r="E36" s="60">
        <f t="shared" ref="E36:G37" si="13">E37</f>
        <v>0</v>
      </c>
      <c r="F36" s="60">
        <f t="shared" si="13"/>
        <v>0</v>
      </c>
      <c r="G36" s="60">
        <f t="shared" si="13"/>
        <v>0</v>
      </c>
    </row>
    <row r="37" spans="1:7" ht="0.95" customHeight="1" x14ac:dyDescent="0.25">
      <c r="A37" s="186">
        <v>3</v>
      </c>
      <c r="B37" s="187"/>
      <c r="C37" s="188"/>
      <c r="D37" s="138" t="s">
        <v>13</v>
      </c>
      <c r="E37" s="41">
        <f t="shared" si="13"/>
        <v>0</v>
      </c>
      <c r="F37" s="41">
        <f t="shared" si="13"/>
        <v>0</v>
      </c>
      <c r="G37" s="41">
        <f t="shared" si="13"/>
        <v>0</v>
      </c>
    </row>
    <row r="38" spans="1:7" ht="0.95" customHeight="1" x14ac:dyDescent="0.25">
      <c r="A38" s="183">
        <v>31</v>
      </c>
      <c r="B38" s="184"/>
      <c r="C38" s="185"/>
      <c r="D38" s="138" t="s">
        <v>101</v>
      </c>
      <c r="E38" s="41"/>
      <c r="F38" s="41">
        <v>0</v>
      </c>
      <c r="G38" s="42">
        <v>0</v>
      </c>
    </row>
    <row r="39" spans="1:7" s="63" customFormat="1" ht="0.95" customHeight="1" x14ac:dyDescent="0.25">
      <c r="A39" s="180" t="s">
        <v>75</v>
      </c>
      <c r="B39" s="181"/>
      <c r="C39" s="182"/>
      <c r="D39" s="134" t="s">
        <v>97</v>
      </c>
      <c r="E39" s="60">
        <f t="shared" ref="E39:G42" si="14">E40</f>
        <v>0</v>
      </c>
      <c r="F39" s="60">
        <f t="shared" si="14"/>
        <v>0</v>
      </c>
      <c r="G39" s="60">
        <f t="shared" si="14"/>
        <v>0</v>
      </c>
    </row>
    <row r="40" spans="1:7" ht="0.95" customHeight="1" x14ac:dyDescent="0.25">
      <c r="A40" s="186">
        <v>3</v>
      </c>
      <c r="B40" s="187"/>
      <c r="C40" s="188"/>
      <c r="D40" s="138" t="s">
        <v>13</v>
      </c>
      <c r="E40" s="41">
        <f t="shared" si="14"/>
        <v>0</v>
      </c>
      <c r="F40" s="41">
        <f t="shared" si="14"/>
        <v>0</v>
      </c>
      <c r="G40" s="41">
        <f t="shared" si="14"/>
        <v>0</v>
      </c>
    </row>
    <row r="41" spans="1:7" ht="0.95" customHeight="1" x14ac:dyDescent="0.25">
      <c r="A41" s="183">
        <v>31</v>
      </c>
      <c r="B41" s="184"/>
      <c r="C41" s="185"/>
      <c r="D41" s="138" t="s">
        <v>14</v>
      </c>
      <c r="E41" s="41"/>
      <c r="F41" s="41">
        <v>0</v>
      </c>
      <c r="G41" s="42">
        <v>0</v>
      </c>
    </row>
    <row r="42" spans="1:7" s="63" customFormat="1" ht="0.95" customHeight="1" x14ac:dyDescent="0.25">
      <c r="A42" s="180" t="s">
        <v>158</v>
      </c>
      <c r="B42" s="181"/>
      <c r="C42" s="182"/>
      <c r="D42" s="134" t="s">
        <v>44</v>
      </c>
      <c r="E42" s="60">
        <f t="shared" ref="E42" si="15">E43</f>
        <v>0</v>
      </c>
      <c r="F42" s="60">
        <f t="shared" si="14"/>
        <v>0</v>
      </c>
      <c r="G42" s="60">
        <f t="shared" si="14"/>
        <v>0</v>
      </c>
    </row>
    <row r="43" spans="1:7" ht="0.95" customHeight="1" x14ac:dyDescent="0.25">
      <c r="A43" s="186">
        <v>3</v>
      </c>
      <c r="B43" s="187"/>
      <c r="C43" s="188"/>
      <c r="D43" s="138" t="s">
        <v>13</v>
      </c>
      <c r="E43" s="41">
        <f t="shared" ref="E43:G43" si="16">E44+E45</f>
        <v>0</v>
      </c>
      <c r="F43" s="41">
        <f t="shared" si="16"/>
        <v>0</v>
      </c>
      <c r="G43" s="41">
        <f t="shared" si="16"/>
        <v>0</v>
      </c>
    </row>
    <row r="44" spans="1:7" ht="0.95" customHeight="1" x14ac:dyDescent="0.25">
      <c r="A44" s="183">
        <v>31</v>
      </c>
      <c r="B44" s="184"/>
      <c r="C44" s="185"/>
      <c r="D44" s="138" t="s">
        <v>14</v>
      </c>
      <c r="E44" s="41"/>
      <c r="F44" s="41">
        <v>0</v>
      </c>
      <c r="G44" s="42">
        <v>0</v>
      </c>
    </row>
    <row r="45" spans="1:7" ht="0.95" customHeight="1" x14ac:dyDescent="0.25">
      <c r="A45" s="183">
        <v>32</v>
      </c>
      <c r="B45" s="184"/>
      <c r="C45" s="185"/>
      <c r="D45" s="138" t="s">
        <v>91</v>
      </c>
      <c r="E45" s="41"/>
      <c r="F45" s="41"/>
      <c r="G45" s="42"/>
    </row>
    <row r="46" spans="1:7" s="63" customFormat="1" ht="0.95" customHeight="1" x14ac:dyDescent="0.25">
      <c r="A46" s="180" t="s">
        <v>86</v>
      </c>
      <c r="B46" s="181"/>
      <c r="C46" s="182"/>
      <c r="D46" s="134" t="s">
        <v>83</v>
      </c>
      <c r="E46" s="60">
        <f>E47</f>
        <v>0</v>
      </c>
      <c r="F46" s="60">
        <f t="shared" ref="F46:G46" si="17">F47</f>
        <v>0</v>
      </c>
      <c r="G46" s="60">
        <f t="shared" si="17"/>
        <v>0</v>
      </c>
    </row>
    <row r="47" spans="1:7" ht="0.95" customHeight="1" x14ac:dyDescent="0.25">
      <c r="A47" s="186">
        <v>3</v>
      </c>
      <c r="B47" s="187"/>
      <c r="C47" s="188"/>
      <c r="D47" s="138" t="s">
        <v>13</v>
      </c>
      <c r="E47" s="41">
        <f>E48+E49</f>
        <v>0</v>
      </c>
      <c r="F47" s="41">
        <f t="shared" ref="F47:G47" si="18">F48+F49</f>
        <v>0</v>
      </c>
      <c r="G47" s="41">
        <f t="shared" si="18"/>
        <v>0</v>
      </c>
    </row>
    <row r="48" spans="1:7" ht="0.95" customHeight="1" x14ac:dyDescent="0.25">
      <c r="A48" s="183">
        <v>31</v>
      </c>
      <c r="B48" s="184"/>
      <c r="C48" s="185"/>
      <c r="D48" s="138" t="s">
        <v>14</v>
      </c>
      <c r="E48" s="41"/>
      <c r="F48" s="41">
        <v>0</v>
      </c>
      <c r="G48" s="42">
        <v>0</v>
      </c>
    </row>
    <row r="49" spans="1:7" ht="0.95" customHeight="1" x14ac:dyDescent="0.25">
      <c r="A49" s="183">
        <v>32</v>
      </c>
      <c r="B49" s="184"/>
      <c r="C49" s="185"/>
      <c r="D49" s="138" t="s">
        <v>91</v>
      </c>
      <c r="E49" s="41"/>
      <c r="F49" s="41">
        <v>0</v>
      </c>
      <c r="G49" s="42">
        <v>0</v>
      </c>
    </row>
    <row r="50" spans="1:7" s="63" customFormat="1" ht="0.95" customHeight="1" x14ac:dyDescent="0.25">
      <c r="A50" s="180" t="s">
        <v>71</v>
      </c>
      <c r="B50" s="181"/>
      <c r="C50" s="182"/>
      <c r="D50" s="134" t="s">
        <v>85</v>
      </c>
      <c r="E50" s="60">
        <f>E51</f>
        <v>3383962.09</v>
      </c>
      <c r="F50" s="60">
        <f t="shared" ref="F50:G50" si="19">F51</f>
        <v>3383962.09</v>
      </c>
      <c r="G50" s="60">
        <f t="shared" si="19"/>
        <v>3383962.09</v>
      </c>
    </row>
    <row r="51" spans="1:7" ht="0.95" customHeight="1" x14ac:dyDescent="0.25">
      <c r="A51" s="186">
        <v>3</v>
      </c>
      <c r="B51" s="187"/>
      <c r="C51" s="188"/>
      <c r="D51" s="138" t="s">
        <v>13</v>
      </c>
      <c r="E51" s="41">
        <f>E52+E55</f>
        <v>3383962.09</v>
      </c>
      <c r="F51" s="41">
        <f t="shared" ref="F51:G51" si="20">F52+F55</f>
        <v>3383962.09</v>
      </c>
      <c r="G51" s="41">
        <f t="shared" si="20"/>
        <v>3383962.09</v>
      </c>
    </row>
    <row r="52" spans="1:7" ht="0.95" customHeight="1" x14ac:dyDescent="0.25">
      <c r="A52" s="183">
        <v>31</v>
      </c>
      <c r="B52" s="184"/>
      <c r="C52" s="185"/>
      <c r="D52" s="138" t="s">
        <v>14</v>
      </c>
      <c r="E52" s="41">
        <f>E53+E54</f>
        <v>3383962.09</v>
      </c>
      <c r="F52" s="41">
        <f t="shared" ref="F52:G52" si="21">F53+F54</f>
        <v>3383962.09</v>
      </c>
      <c r="G52" s="41">
        <f t="shared" si="21"/>
        <v>3383962.09</v>
      </c>
    </row>
    <row r="53" spans="1:7" ht="0.95" customHeight="1" x14ac:dyDescent="0.25">
      <c r="A53" s="135"/>
      <c r="B53" s="136"/>
      <c r="C53" s="137"/>
      <c r="D53" s="57" t="s">
        <v>92</v>
      </c>
      <c r="E53" s="58">
        <f>3383962.09-E54</f>
        <v>3382757.09</v>
      </c>
      <c r="F53" s="58">
        <f>E53</f>
        <v>3382757.09</v>
      </c>
      <c r="G53" s="66">
        <f>E53</f>
        <v>3382757.09</v>
      </c>
    </row>
    <row r="54" spans="1:7" ht="0.95" customHeight="1" x14ac:dyDescent="0.25">
      <c r="A54" s="135"/>
      <c r="B54" s="136"/>
      <c r="C54" s="137"/>
      <c r="D54" s="57" t="s">
        <v>93</v>
      </c>
      <c r="E54" s="58">
        <v>1205</v>
      </c>
      <c r="F54" s="58">
        <f>E54</f>
        <v>1205</v>
      </c>
      <c r="G54" s="66">
        <f>E54</f>
        <v>1205</v>
      </c>
    </row>
    <row r="55" spans="1:7" s="126" customFormat="1" ht="0.95" customHeight="1" x14ac:dyDescent="0.25">
      <c r="A55" s="192">
        <v>32</v>
      </c>
      <c r="B55" s="193"/>
      <c r="C55" s="194"/>
      <c r="D55" s="125" t="s">
        <v>23</v>
      </c>
      <c r="E55" s="90">
        <f>E56+E57+E58</f>
        <v>0</v>
      </c>
      <c r="F55" s="90">
        <f t="shared" ref="F55:G55" si="22">F56+F57+F58</f>
        <v>0</v>
      </c>
      <c r="G55" s="90">
        <f t="shared" si="22"/>
        <v>0</v>
      </c>
    </row>
    <row r="56" spans="1:7" ht="0.95" customHeight="1" x14ac:dyDescent="0.25">
      <c r="A56" s="135"/>
      <c r="B56" s="136"/>
      <c r="C56" s="137"/>
      <c r="D56" s="57" t="s">
        <v>94</v>
      </c>
      <c r="E56" s="58"/>
      <c r="F56" s="58"/>
      <c r="G56" s="66"/>
    </row>
    <row r="57" spans="1:7" ht="0.95" customHeight="1" x14ac:dyDescent="0.25">
      <c r="A57" s="135"/>
      <c r="B57" s="136"/>
      <c r="C57" s="137"/>
      <c r="D57" s="57" t="s">
        <v>95</v>
      </c>
      <c r="E57" s="58"/>
      <c r="F57" s="58"/>
      <c r="G57" s="66"/>
    </row>
    <row r="58" spans="1:7" ht="0.95" customHeight="1" x14ac:dyDescent="0.25">
      <c r="A58" s="135"/>
      <c r="B58" s="136"/>
      <c r="C58" s="137"/>
      <c r="D58" s="57" t="s">
        <v>96</v>
      </c>
      <c r="E58" s="58"/>
      <c r="F58" s="58"/>
      <c r="G58" s="66"/>
    </row>
    <row r="59" spans="1:7" s="63" customFormat="1" ht="0.95" customHeight="1" x14ac:dyDescent="0.25">
      <c r="A59" s="180" t="s">
        <v>76</v>
      </c>
      <c r="B59" s="181"/>
      <c r="C59" s="182"/>
      <c r="D59" s="134" t="s">
        <v>42</v>
      </c>
      <c r="E59" s="60">
        <f t="shared" ref="E59:G60" si="23">E60</f>
        <v>0</v>
      </c>
      <c r="F59" s="60">
        <f t="shared" si="23"/>
        <v>0</v>
      </c>
      <c r="G59" s="60">
        <f t="shared" si="23"/>
        <v>0</v>
      </c>
    </row>
    <row r="60" spans="1:7" ht="0.95" customHeight="1" x14ac:dyDescent="0.25">
      <c r="A60" s="186">
        <v>3</v>
      </c>
      <c r="B60" s="187"/>
      <c r="C60" s="188"/>
      <c r="D60" s="138" t="s">
        <v>13</v>
      </c>
      <c r="E60" s="41">
        <f t="shared" si="23"/>
        <v>0</v>
      </c>
      <c r="F60" s="41">
        <f t="shared" si="23"/>
        <v>0</v>
      </c>
      <c r="G60" s="41">
        <f t="shared" si="23"/>
        <v>0</v>
      </c>
    </row>
    <row r="61" spans="1:7" ht="0.95" customHeight="1" x14ac:dyDescent="0.25">
      <c r="A61" s="183">
        <v>31</v>
      </c>
      <c r="B61" s="184"/>
      <c r="C61" s="185"/>
      <c r="D61" s="138" t="s">
        <v>103</v>
      </c>
      <c r="E61" s="41"/>
      <c r="F61" s="41"/>
      <c r="G61" s="42"/>
    </row>
    <row r="62" spans="1:7" ht="24.95" customHeight="1" x14ac:dyDescent="0.25">
      <c r="A62" s="189" t="s">
        <v>53</v>
      </c>
      <c r="B62" s="190"/>
      <c r="C62" s="191"/>
      <c r="D62" s="139" t="s">
        <v>54</v>
      </c>
      <c r="E62" s="54">
        <v>432190.97</v>
      </c>
      <c r="F62" s="54">
        <v>417516</v>
      </c>
      <c r="G62" s="54">
        <v>417516</v>
      </c>
    </row>
    <row r="63" spans="1:7" s="64" customFormat="1" ht="0.95" customHeight="1" x14ac:dyDescent="0.2">
      <c r="A63" s="180" t="s">
        <v>73</v>
      </c>
      <c r="B63" s="181"/>
      <c r="C63" s="182"/>
      <c r="D63" s="134" t="s">
        <v>74</v>
      </c>
      <c r="E63" s="60">
        <f>E64</f>
        <v>2470</v>
      </c>
      <c r="F63" s="60">
        <f t="shared" ref="F63:G63" si="24">F64</f>
        <v>2470</v>
      </c>
      <c r="G63" s="60">
        <f t="shared" si="24"/>
        <v>2470</v>
      </c>
    </row>
    <row r="64" spans="1:7" ht="0.95" customHeight="1" x14ac:dyDescent="0.25">
      <c r="A64" s="186">
        <v>3</v>
      </c>
      <c r="B64" s="187"/>
      <c r="C64" s="188"/>
      <c r="D64" s="138" t="s">
        <v>13</v>
      </c>
      <c r="E64" s="41">
        <f>E65+E66</f>
        <v>2470</v>
      </c>
      <c r="F64" s="41">
        <f t="shared" ref="F64:G64" si="25">F65+F66</f>
        <v>2470</v>
      </c>
      <c r="G64" s="41">
        <f t="shared" si="25"/>
        <v>2470</v>
      </c>
    </row>
    <row r="65" spans="1:7" ht="0.95" customHeight="1" x14ac:dyDescent="0.25">
      <c r="A65" s="183">
        <v>32</v>
      </c>
      <c r="B65" s="184"/>
      <c r="C65" s="185"/>
      <c r="D65" s="138" t="s">
        <v>105</v>
      </c>
      <c r="E65" s="41">
        <v>2370</v>
      </c>
      <c r="F65" s="41">
        <f>E65</f>
        <v>2370</v>
      </c>
      <c r="G65" s="42">
        <f>E65</f>
        <v>2370</v>
      </c>
    </row>
    <row r="66" spans="1:7" ht="0.95" customHeight="1" x14ac:dyDescent="0.25">
      <c r="A66" s="183">
        <v>37</v>
      </c>
      <c r="B66" s="184"/>
      <c r="C66" s="185"/>
      <c r="D66" s="55" t="s">
        <v>106</v>
      </c>
      <c r="E66" s="41">
        <v>100</v>
      </c>
      <c r="F66" s="41">
        <f>E66</f>
        <v>100</v>
      </c>
      <c r="G66" s="42">
        <f>E66</f>
        <v>100</v>
      </c>
    </row>
    <row r="67" spans="1:7" s="64" customFormat="1" ht="0.95" customHeight="1" x14ac:dyDescent="0.2">
      <c r="A67" s="180" t="s">
        <v>98</v>
      </c>
      <c r="B67" s="181"/>
      <c r="C67" s="182"/>
      <c r="D67" s="134" t="s">
        <v>79</v>
      </c>
      <c r="E67" s="60">
        <f t="shared" ref="E67" si="26">E69+E68</f>
        <v>1050</v>
      </c>
      <c r="F67" s="60">
        <f>F69+F68</f>
        <v>1050</v>
      </c>
      <c r="G67" s="60">
        <f>G69+G68</f>
        <v>1050</v>
      </c>
    </row>
    <row r="68" spans="1:7" s="64" customFormat="1" ht="0.95" customHeight="1" x14ac:dyDescent="0.2">
      <c r="A68" s="183">
        <v>32</v>
      </c>
      <c r="B68" s="184"/>
      <c r="C68" s="185"/>
      <c r="D68" s="138" t="s">
        <v>23</v>
      </c>
      <c r="E68" s="91">
        <v>1050</v>
      </c>
      <c r="F68" s="91">
        <f>E68</f>
        <v>1050</v>
      </c>
      <c r="G68" s="91">
        <f>E68</f>
        <v>1050</v>
      </c>
    </row>
    <row r="69" spans="1:7" ht="0.95" customHeight="1" x14ac:dyDescent="0.25">
      <c r="A69" s="183">
        <v>37</v>
      </c>
      <c r="B69" s="184"/>
      <c r="C69" s="185"/>
      <c r="D69" s="55" t="s">
        <v>34</v>
      </c>
      <c r="E69" s="41"/>
      <c r="F69" s="41">
        <v>0</v>
      </c>
      <c r="G69" s="42">
        <v>0</v>
      </c>
    </row>
    <row r="70" spans="1:7" s="64" customFormat="1" ht="0.95" customHeight="1" x14ac:dyDescent="0.2">
      <c r="A70" s="180" t="s">
        <v>75</v>
      </c>
      <c r="B70" s="181"/>
      <c r="C70" s="182"/>
      <c r="D70" s="134" t="s">
        <v>107</v>
      </c>
      <c r="E70" s="60">
        <f>E71</f>
        <v>80550</v>
      </c>
      <c r="F70" s="60">
        <f t="shared" ref="F70:G70" si="27">F71</f>
        <v>80550</v>
      </c>
      <c r="G70" s="60">
        <f t="shared" si="27"/>
        <v>80550</v>
      </c>
    </row>
    <row r="71" spans="1:7" ht="0.95" customHeight="1" x14ac:dyDescent="0.25">
      <c r="A71" s="186">
        <v>3</v>
      </c>
      <c r="B71" s="187"/>
      <c r="C71" s="188"/>
      <c r="D71" s="138" t="s">
        <v>13</v>
      </c>
      <c r="E71" s="41">
        <f>E72+E73</f>
        <v>80550</v>
      </c>
      <c r="F71" s="41">
        <f t="shared" ref="F71:G71" si="28">F72+F73</f>
        <v>80550</v>
      </c>
      <c r="G71" s="41">
        <f t="shared" si="28"/>
        <v>80550</v>
      </c>
    </row>
    <row r="72" spans="1:7" ht="0.95" customHeight="1" x14ac:dyDescent="0.25">
      <c r="A72" s="183">
        <v>32</v>
      </c>
      <c r="B72" s="184"/>
      <c r="C72" s="185"/>
      <c r="D72" s="138" t="s">
        <v>23</v>
      </c>
      <c r="E72" s="41">
        <v>80050</v>
      </c>
      <c r="F72" s="41">
        <f>E72</f>
        <v>80050</v>
      </c>
      <c r="G72" s="42">
        <f>F72</f>
        <v>80050</v>
      </c>
    </row>
    <row r="73" spans="1:7" ht="0.95" customHeight="1" x14ac:dyDescent="0.25">
      <c r="A73" s="183">
        <v>37</v>
      </c>
      <c r="B73" s="184"/>
      <c r="C73" s="185"/>
      <c r="D73" s="55" t="s">
        <v>34</v>
      </c>
      <c r="E73" s="41">
        <v>500</v>
      </c>
      <c r="F73" s="41">
        <f>E73</f>
        <v>500</v>
      </c>
      <c r="G73" s="42">
        <f>E73</f>
        <v>500</v>
      </c>
    </row>
    <row r="74" spans="1:7" s="64" customFormat="1" ht="0.95" customHeight="1" x14ac:dyDescent="0.2">
      <c r="A74" s="180" t="s">
        <v>99</v>
      </c>
      <c r="B74" s="181"/>
      <c r="C74" s="182"/>
      <c r="D74" s="134" t="s">
        <v>81</v>
      </c>
      <c r="E74" s="60">
        <f>E75</f>
        <v>1400</v>
      </c>
      <c r="F74" s="60">
        <f t="shared" ref="F74:G76" si="29">F75</f>
        <v>1400</v>
      </c>
      <c r="G74" s="60">
        <f t="shared" si="29"/>
        <v>1400</v>
      </c>
    </row>
    <row r="75" spans="1:7" ht="0.95" customHeight="1" x14ac:dyDescent="0.25">
      <c r="A75" s="183">
        <v>32</v>
      </c>
      <c r="B75" s="184"/>
      <c r="C75" s="185"/>
      <c r="D75" s="138" t="s">
        <v>23</v>
      </c>
      <c r="E75" s="41">
        <v>1400</v>
      </c>
      <c r="F75" s="41">
        <f>E75</f>
        <v>1400</v>
      </c>
      <c r="G75" s="42">
        <f>E75</f>
        <v>1400</v>
      </c>
    </row>
    <row r="76" spans="1:7" s="64" customFormat="1" ht="0.95" customHeight="1" x14ac:dyDescent="0.2">
      <c r="A76" s="180" t="s">
        <v>178</v>
      </c>
      <c r="B76" s="181"/>
      <c r="C76" s="182"/>
      <c r="D76" s="134" t="s">
        <v>179</v>
      </c>
      <c r="E76" s="60">
        <f>E77</f>
        <v>1752</v>
      </c>
      <c r="F76" s="60">
        <f t="shared" si="29"/>
        <v>1752</v>
      </c>
      <c r="G76" s="60">
        <f t="shared" si="29"/>
        <v>1752</v>
      </c>
    </row>
    <row r="77" spans="1:7" ht="0.95" customHeight="1" x14ac:dyDescent="0.25">
      <c r="A77" s="183">
        <v>32</v>
      </c>
      <c r="B77" s="184"/>
      <c r="C77" s="185"/>
      <c r="D77" s="138" t="s">
        <v>23</v>
      </c>
      <c r="E77" s="41">
        <v>1752</v>
      </c>
      <c r="F77" s="41">
        <f>E77</f>
        <v>1752</v>
      </c>
      <c r="G77" s="42">
        <f>E77</f>
        <v>1752</v>
      </c>
    </row>
    <row r="78" spans="1:7" ht="0.95" customHeight="1" x14ac:dyDescent="0.25">
      <c r="A78" s="180" t="s">
        <v>128</v>
      </c>
      <c r="B78" s="181"/>
      <c r="C78" s="182"/>
      <c r="D78" s="134" t="s">
        <v>130</v>
      </c>
      <c r="E78" s="92">
        <f t="shared" ref="E78:G78" si="30">E79</f>
        <v>4233</v>
      </c>
      <c r="F78" s="92">
        <f t="shared" si="30"/>
        <v>4233</v>
      </c>
      <c r="G78" s="92">
        <f t="shared" si="30"/>
        <v>4233</v>
      </c>
    </row>
    <row r="79" spans="1:7" ht="0.95" customHeight="1" x14ac:dyDescent="0.25">
      <c r="A79" s="183">
        <v>32</v>
      </c>
      <c r="B79" s="184"/>
      <c r="C79" s="185"/>
      <c r="D79" s="138" t="s">
        <v>23</v>
      </c>
      <c r="E79" s="41">
        <v>4233</v>
      </c>
      <c r="F79" s="41">
        <f>E79</f>
        <v>4233</v>
      </c>
      <c r="G79" s="42">
        <f>E79</f>
        <v>4233</v>
      </c>
    </row>
    <row r="80" spans="1:7" s="64" customFormat="1" ht="0.95" customHeight="1" x14ac:dyDescent="0.2">
      <c r="A80" s="180" t="s">
        <v>71</v>
      </c>
      <c r="B80" s="181"/>
      <c r="C80" s="182"/>
      <c r="D80" s="134" t="s">
        <v>40</v>
      </c>
      <c r="E80" s="60">
        <f>E81</f>
        <v>385653.95</v>
      </c>
      <c r="F80" s="60">
        <f t="shared" ref="F80:G80" si="31">F81</f>
        <v>385653.95</v>
      </c>
      <c r="G80" s="60">
        <f t="shared" si="31"/>
        <v>385653.95</v>
      </c>
    </row>
    <row r="81" spans="1:7" ht="0.95" customHeight="1" x14ac:dyDescent="0.25">
      <c r="A81" s="186">
        <v>3</v>
      </c>
      <c r="B81" s="187"/>
      <c r="C81" s="188"/>
      <c r="D81" s="138" t="s">
        <v>13</v>
      </c>
      <c r="E81" s="41">
        <f t="shared" ref="E81:G81" si="32">E82+E84+E83</f>
        <v>385653.95</v>
      </c>
      <c r="F81" s="41">
        <f t="shared" si="32"/>
        <v>385653.95</v>
      </c>
      <c r="G81" s="41">
        <f t="shared" si="32"/>
        <v>385653.95</v>
      </c>
    </row>
    <row r="82" spans="1:7" ht="0.95" customHeight="1" x14ac:dyDescent="0.25">
      <c r="A82" s="183">
        <v>32</v>
      </c>
      <c r="B82" s="184"/>
      <c r="C82" s="185"/>
      <c r="D82" s="138" t="s">
        <v>23</v>
      </c>
      <c r="E82" s="41">
        <v>302330</v>
      </c>
      <c r="F82" s="41">
        <f>E82</f>
        <v>302330</v>
      </c>
      <c r="G82" s="42">
        <f>E82</f>
        <v>302330</v>
      </c>
    </row>
    <row r="83" spans="1:7" ht="0.95" customHeight="1" x14ac:dyDescent="0.25">
      <c r="A83" s="183">
        <v>37</v>
      </c>
      <c r="B83" s="184"/>
      <c r="C83" s="185"/>
      <c r="D83" s="55" t="s">
        <v>34</v>
      </c>
      <c r="E83" s="41">
        <v>80900</v>
      </c>
      <c r="F83" s="41">
        <f>E83</f>
        <v>80900</v>
      </c>
      <c r="G83" s="42">
        <f>E83</f>
        <v>80900</v>
      </c>
    </row>
    <row r="84" spans="1:7" ht="0.95" customHeight="1" x14ac:dyDescent="0.25">
      <c r="A84" s="183">
        <v>38</v>
      </c>
      <c r="B84" s="184"/>
      <c r="C84" s="185"/>
      <c r="D84" s="55" t="s">
        <v>129</v>
      </c>
      <c r="E84" s="41">
        <v>2423.9499999999998</v>
      </c>
      <c r="F84" s="41">
        <f>E84</f>
        <v>2423.9499999999998</v>
      </c>
      <c r="G84" s="42">
        <f>E84</f>
        <v>2423.9499999999998</v>
      </c>
    </row>
    <row r="85" spans="1:7" s="64" customFormat="1" ht="0.95" customHeight="1" x14ac:dyDescent="0.2">
      <c r="A85" s="180" t="s">
        <v>100</v>
      </c>
      <c r="B85" s="181"/>
      <c r="C85" s="182"/>
      <c r="D85" s="134" t="s">
        <v>82</v>
      </c>
      <c r="E85" s="60">
        <f>E86</f>
        <v>1500</v>
      </c>
      <c r="F85" s="60">
        <f t="shared" ref="F85:G85" si="33">F86</f>
        <v>1500</v>
      </c>
      <c r="G85" s="60">
        <f t="shared" si="33"/>
        <v>1500</v>
      </c>
    </row>
    <row r="86" spans="1:7" ht="0.95" customHeight="1" x14ac:dyDescent="0.25">
      <c r="A86" s="186">
        <v>3</v>
      </c>
      <c r="B86" s="187"/>
      <c r="C86" s="188"/>
      <c r="D86" s="138" t="s">
        <v>13</v>
      </c>
      <c r="E86" s="41">
        <f>E87+E88</f>
        <v>1500</v>
      </c>
      <c r="F86" s="41">
        <f t="shared" ref="F86:G86" si="34">F87+F88</f>
        <v>1500</v>
      </c>
      <c r="G86" s="41">
        <f t="shared" si="34"/>
        <v>1500</v>
      </c>
    </row>
    <row r="87" spans="1:7" ht="0.95" customHeight="1" x14ac:dyDescent="0.25">
      <c r="A87" s="183">
        <v>32</v>
      </c>
      <c r="B87" s="184"/>
      <c r="C87" s="185"/>
      <c r="D87" s="138" t="s">
        <v>23</v>
      </c>
      <c r="E87" s="41">
        <v>1500</v>
      </c>
      <c r="F87" s="41">
        <f>E87</f>
        <v>1500</v>
      </c>
      <c r="G87" s="42">
        <f>E87</f>
        <v>1500</v>
      </c>
    </row>
    <row r="88" spans="1:7" ht="0.95" customHeight="1" x14ac:dyDescent="0.25">
      <c r="A88" s="183">
        <v>37</v>
      </c>
      <c r="B88" s="184"/>
      <c r="C88" s="185"/>
      <c r="D88" s="55" t="s">
        <v>34</v>
      </c>
      <c r="E88" s="41"/>
      <c r="F88" s="41">
        <v>0</v>
      </c>
      <c r="G88" s="42">
        <v>0</v>
      </c>
    </row>
    <row r="89" spans="1:7" s="64" customFormat="1" ht="0.95" customHeight="1" x14ac:dyDescent="0.2">
      <c r="A89" s="180" t="s">
        <v>76</v>
      </c>
      <c r="B89" s="181"/>
      <c r="C89" s="182"/>
      <c r="D89" s="134" t="s">
        <v>42</v>
      </c>
      <c r="E89" s="60">
        <f>E90</f>
        <v>880</v>
      </c>
      <c r="F89" s="60">
        <f t="shared" ref="F89:G89" si="35">F90</f>
        <v>880</v>
      </c>
      <c r="G89" s="60">
        <f t="shared" si="35"/>
        <v>880</v>
      </c>
    </row>
    <row r="90" spans="1:7" ht="0.95" customHeight="1" x14ac:dyDescent="0.25">
      <c r="A90" s="183">
        <v>32</v>
      </c>
      <c r="B90" s="184"/>
      <c r="C90" s="185"/>
      <c r="D90" s="138" t="s">
        <v>23</v>
      </c>
      <c r="E90" s="41">
        <v>880</v>
      </c>
      <c r="F90" s="41">
        <f>E90</f>
        <v>880</v>
      </c>
      <c r="G90" s="42">
        <f>E90</f>
        <v>880</v>
      </c>
    </row>
    <row r="91" spans="1:7" s="63" customFormat="1" ht="0.95" customHeight="1" x14ac:dyDescent="0.25">
      <c r="A91" s="180" t="s">
        <v>104</v>
      </c>
      <c r="B91" s="181"/>
      <c r="C91" s="182"/>
      <c r="D91" s="65" t="s">
        <v>84</v>
      </c>
      <c r="E91" s="60">
        <f>E92</f>
        <v>200</v>
      </c>
      <c r="F91" s="60">
        <f t="shared" ref="F91:G91" si="36">F92</f>
        <v>200</v>
      </c>
      <c r="G91" s="60">
        <f t="shared" si="36"/>
        <v>200</v>
      </c>
    </row>
    <row r="92" spans="1:7" ht="0.95" customHeight="1" x14ac:dyDescent="0.25">
      <c r="A92" s="183">
        <v>32</v>
      </c>
      <c r="B92" s="184"/>
      <c r="C92" s="185"/>
      <c r="D92" s="138" t="s">
        <v>23</v>
      </c>
      <c r="E92" s="41">
        <v>200</v>
      </c>
      <c r="F92" s="41">
        <f>E92</f>
        <v>200</v>
      </c>
      <c r="G92" s="42">
        <f>E92</f>
        <v>200</v>
      </c>
    </row>
    <row r="93" spans="1:7" ht="24.95" customHeight="1" x14ac:dyDescent="0.25">
      <c r="A93" s="189" t="s">
        <v>55</v>
      </c>
      <c r="B93" s="190"/>
      <c r="C93" s="191"/>
      <c r="D93" s="139" t="s">
        <v>56</v>
      </c>
      <c r="E93" s="54">
        <v>55</v>
      </c>
      <c r="F93" s="54">
        <f t="shared" ref="F93:G93" si="37">F95+F97+F99+F101</f>
        <v>35</v>
      </c>
      <c r="G93" s="54">
        <f t="shared" si="37"/>
        <v>35</v>
      </c>
    </row>
    <row r="94" spans="1:7" s="63" customFormat="1" ht="0.95" customHeight="1" x14ac:dyDescent="0.25">
      <c r="A94" s="180" t="s">
        <v>73</v>
      </c>
      <c r="B94" s="181"/>
      <c r="C94" s="182"/>
      <c r="D94" s="134" t="s">
        <v>41</v>
      </c>
      <c r="E94" s="62">
        <v>53690.67</v>
      </c>
      <c r="F94" s="62">
        <f t="shared" ref="F94:G94" si="38">F95</f>
        <v>35</v>
      </c>
      <c r="G94" s="62">
        <f t="shared" si="38"/>
        <v>35</v>
      </c>
    </row>
    <row r="95" spans="1:7" ht="0.95" customHeight="1" x14ac:dyDescent="0.25">
      <c r="A95" s="183">
        <v>34</v>
      </c>
      <c r="B95" s="184"/>
      <c r="C95" s="185"/>
      <c r="D95" s="138" t="s">
        <v>33</v>
      </c>
      <c r="E95" s="41">
        <v>35</v>
      </c>
      <c r="F95" s="41">
        <f>E95</f>
        <v>35</v>
      </c>
      <c r="G95" s="42">
        <f>E95</f>
        <v>35</v>
      </c>
    </row>
    <row r="96" spans="1:7" s="63" customFormat="1" ht="0.95" customHeight="1" x14ac:dyDescent="0.25">
      <c r="A96" s="180" t="s">
        <v>98</v>
      </c>
      <c r="B96" s="181"/>
      <c r="C96" s="182"/>
      <c r="D96" s="134" t="s">
        <v>79</v>
      </c>
      <c r="E96" s="62">
        <f t="shared" ref="E96:G96" si="39">E97</f>
        <v>0</v>
      </c>
      <c r="F96" s="62">
        <f t="shared" si="39"/>
        <v>0</v>
      </c>
      <c r="G96" s="62">
        <f t="shared" si="39"/>
        <v>0</v>
      </c>
    </row>
    <row r="97" spans="1:7" ht="0.95" customHeight="1" x14ac:dyDescent="0.25">
      <c r="A97" s="183">
        <v>34</v>
      </c>
      <c r="B97" s="184"/>
      <c r="C97" s="185"/>
      <c r="D97" s="138" t="s">
        <v>33</v>
      </c>
      <c r="E97" s="41"/>
      <c r="F97" s="41">
        <v>0</v>
      </c>
      <c r="G97" s="42">
        <v>0</v>
      </c>
    </row>
    <row r="98" spans="1:7" s="63" customFormat="1" ht="0.95" customHeight="1" x14ac:dyDescent="0.25">
      <c r="A98" s="180" t="s">
        <v>75</v>
      </c>
      <c r="B98" s="181"/>
      <c r="C98" s="182"/>
      <c r="D98" s="134" t="s">
        <v>97</v>
      </c>
      <c r="E98" s="62">
        <f t="shared" ref="E98:G98" si="40">E99</f>
        <v>0</v>
      </c>
      <c r="F98" s="62">
        <f t="shared" si="40"/>
        <v>0</v>
      </c>
      <c r="G98" s="62">
        <f t="shared" si="40"/>
        <v>0</v>
      </c>
    </row>
    <row r="99" spans="1:7" ht="0.95" customHeight="1" x14ac:dyDescent="0.25">
      <c r="A99" s="183">
        <v>34</v>
      </c>
      <c r="B99" s="184"/>
      <c r="C99" s="185"/>
      <c r="D99" s="138" t="s">
        <v>33</v>
      </c>
      <c r="E99" s="41"/>
      <c r="F99" s="41"/>
      <c r="G99" s="42"/>
    </row>
    <row r="100" spans="1:7" s="63" customFormat="1" ht="0.95" customHeight="1" x14ac:dyDescent="0.25">
      <c r="A100" s="180" t="s">
        <v>99</v>
      </c>
      <c r="B100" s="181"/>
      <c r="C100" s="182"/>
      <c r="D100" s="134" t="s">
        <v>81</v>
      </c>
      <c r="E100" s="62">
        <f t="shared" ref="E100:G100" si="41">E101</f>
        <v>0</v>
      </c>
      <c r="F100" s="62">
        <f t="shared" si="41"/>
        <v>0</v>
      </c>
      <c r="G100" s="62">
        <f t="shared" si="41"/>
        <v>0</v>
      </c>
    </row>
    <row r="101" spans="1:7" ht="0.95" customHeight="1" x14ac:dyDescent="0.25">
      <c r="A101" s="183">
        <v>34</v>
      </c>
      <c r="B101" s="184"/>
      <c r="C101" s="185"/>
      <c r="D101" s="138" t="s">
        <v>33</v>
      </c>
      <c r="E101" s="41"/>
      <c r="F101" s="41"/>
      <c r="G101" s="42"/>
    </row>
    <row r="102" spans="1:7" ht="24.95" customHeight="1" x14ac:dyDescent="0.25">
      <c r="A102" s="189" t="s">
        <v>57</v>
      </c>
      <c r="B102" s="190"/>
      <c r="C102" s="191"/>
      <c r="D102" s="139" t="s">
        <v>58</v>
      </c>
      <c r="E102" s="54">
        <v>53690.67</v>
      </c>
      <c r="F102" s="54">
        <v>45777.23</v>
      </c>
      <c r="G102" s="54">
        <v>45777.23</v>
      </c>
    </row>
    <row r="103" spans="1:7" s="63" customFormat="1" ht="0.95" customHeight="1" x14ac:dyDescent="0.25">
      <c r="A103" s="180" t="s">
        <v>73</v>
      </c>
      <c r="B103" s="181"/>
      <c r="C103" s="182"/>
      <c r="D103" s="134" t="s">
        <v>41</v>
      </c>
      <c r="E103" s="62">
        <f t="shared" ref="E103:G103" si="42">E104</f>
        <v>2550</v>
      </c>
      <c r="F103" s="62">
        <f t="shared" si="42"/>
        <v>2550</v>
      </c>
      <c r="G103" s="62">
        <f t="shared" si="42"/>
        <v>2550</v>
      </c>
    </row>
    <row r="104" spans="1:7" ht="0.95" customHeight="1" x14ac:dyDescent="0.25">
      <c r="A104" s="183">
        <v>42</v>
      </c>
      <c r="B104" s="184"/>
      <c r="C104" s="185"/>
      <c r="D104" s="138" t="s">
        <v>29</v>
      </c>
      <c r="E104" s="41">
        <v>2550</v>
      </c>
      <c r="F104" s="41">
        <f>E104</f>
        <v>2550</v>
      </c>
      <c r="G104" s="42">
        <f>E104</f>
        <v>2550</v>
      </c>
    </row>
    <row r="105" spans="1:7" s="63" customFormat="1" ht="0.95" customHeight="1" x14ac:dyDescent="0.25">
      <c r="A105" s="180" t="s">
        <v>98</v>
      </c>
      <c r="B105" s="181"/>
      <c r="C105" s="182"/>
      <c r="D105" s="134" t="s">
        <v>79</v>
      </c>
      <c r="E105" s="62">
        <f t="shared" ref="E105:G105" si="43">E106</f>
        <v>2450</v>
      </c>
      <c r="F105" s="62">
        <f t="shared" si="43"/>
        <v>2450</v>
      </c>
      <c r="G105" s="62">
        <f t="shared" si="43"/>
        <v>2450</v>
      </c>
    </row>
    <row r="106" spans="1:7" ht="0.95" customHeight="1" x14ac:dyDescent="0.25">
      <c r="A106" s="183">
        <v>42</v>
      </c>
      <c r="B106" s="184"/>
      <c r="C106" s="185"/>
      <c r="D106" s="138" t="s">
        <v>29</v>
      </c>
      <c r="E106" s="41">
        <v>2450</v>
      </c>
      <c r="F106" s="41">
        <f>E106</f>
        <v>2450</v>
      </c>
      <c r="G106" s="42">
        <f>E106</f>
        <v>2450</v>
      </c>
    </row>
    <row r="107" spans="1:7" s="63" customFormat="1" ht="0.95" customHeight="1" x14ac:dyDescent="0.25">
      <c r="A107" s="180" t="s">
        <v>75</v>
      </c>
      <c r="B107" s="181"/>
      <c r="C107" s="182"/>
      <c r="D107" s="134" t="s">
        <v>97</v>
      </c>
      <c r="E107" s="62">
        <f t="shared" ref="E107:G107" si="44">E108</f>
        <v>10900</v>
      </c>
      <c r="F107" s="62">
        <f t="shared" si="44"/>
        <v>10900</v>
      </c>
      <c r="G107" s="62">
        <f t="shared" si="44"/>
        <v>10900</v>
      </c>
    </row>
    <row r="108" spans="1:7" ht="0.95" customHeight="1" x14ac:dyDescent="0.25">
      <c r="A108" s="183">
        <v>42</v>
      </c>
      <c r="B108" s="184"/>
      <c r="C108" s="185"/>
      <c r="D108" s="138" t="s">
        <v>29</v>
      </c>
      <c r="E108" s="41">
        <v>10900</v>
      </c>
      <c r="F108" s="41">
        <f>E108</f>
        <v>10900</v>
      </c>
      <c r="G108" s="42">
        <f>E108</f>
        <v>10900</v>
      </c>
    </row>
    <row r="109" spans="1:7" s="63" customFormat="1" ht="0.95" customHeight="1" x14ac:dyDescent="0.25">
      <c r="A109" s="180" t="s">
        <v>99</v>
      </c>
      <c r="B109" s="181"/>
      <c r="C109" s="182"/>
      <c r="D109" s="134" t="s">
        <v>81</v>
      </c>
      <c r="E109" s="62">
        <f t="shared" ref="E109:G109" si="45">E110</f>
        <v>6600</v>
      </c>
      <c r="F109" s="62">
        <f t="shared" si="45"/>
        <v>6600</v>
      </c>
      <c r="G109" s="62">
        <f t="shared" si="45"/>
        <v>6600</v>
      </c>
    </row>
    <row r="110" spans="1:7" ht="0.95" customHeight="1" x14ac:dyDescent="0.25">
      <c r="A110" s="183">
        <v>42</v>
      </c>
      <c r="B110" s="184"/>
      <c r="C110" s="185"/>
      <c r="D110" s="138" t="s">
        <v>29</v>
      </c>
      <c r="E110" s="41">
        <v>6600</v>
      </c>
      <c r="F110" s="41">
        <f>E110</f>
        <v>6600</v>
      </c>
      <c r="G110" s="42">
        <f>E110</f>
        <v>6600</v>
      </c>
    </row>
    <row r="111" spans="1:7" ht="0.95" customHeight="1" x14ac:dyDescent="0.25">
      <c r="A111" s="180" t="s">
        <v>76</v>
      </c>
      <c r="B111" s="181"/>
      <c r="C111" s="182"/>
      <c r="D111" s="134" t="s">
        <v>42</v>
      </c>
      <c r="E111" s="127">
        <f t="shared" ref="E111:G111" si="46">E112</f>
        <v>500</v>
      </c>
      <c r="F111" s="127">
        <f t="shared" si="46"/>
        <v>500</v>
      </c>
      <c r="G111" s="127">
        <f t="shared" si="46"/>
        <v>500</v>
      </c>
    </row>
    <row r="112" spans="1:7" ht="0.95" customHeight="1" x14ac:dyDescent="0.25">
      <c r="A112" s="183">
        <v>42</v>
      </c>
      <c r="B112" s="184"/>
      <c r="C112" s="185"/>
      <c r="D112" s="138" t="s">
        <v>29</v>
      </c>
      <c r="E112" s="41">
        <v>500</v>
      </c>
      <c r="F112" s="41">
        <f>E112</f>
        <v>500</v>
      </c>
      <c r="G112" s="42">
        <f>E112</f>
        <v>500</v>
      </c>
    </row>
    <row r="113" spans="1:7" ht="0.95" customHeight="1" x14ac:dyDescent="0.25">
      <c r="A113" s="180" t="s">
        <v>104</v>
      </c>
      <c r="B113" s="181"/>
      <c r="C113" s="182"/>
      <c r="D113" s="134" t="s">
        <v>84</v>
      </c>
      <c r="E113" s="127">
        <f t="shared" ref="E113:G113" si="47">E114</f>
        <v>800</v>
      </c>
      <c r="F113" s="127">
        <f t="shared" si="47"/>
        <v>800</v>
      </c>
      <c r="G113" s="127">
        <f t="shared" si="47"/>
        <v>800</v>
      </c>
    </row>
    <row r="114" spans="1:7" ht="0.95" customHeight="1" x14ac:dyDescent="0.25">
      <c r="A114" s="183">
        <v>42</v>
      </c>
      <c r="B114" s="184"/>
      <c r="C114" s="185"/>
      <c r="D114" s="138" t="s">
        <v>29</v>
      </c>
      <c r="E114" s="41">
        <v>800</v>
      </c>
      <c r="F114" s="41">
        <f>E114</f>
        <v>800</v>
      </c>
      <c r="G114" s="42">
        <f>E114</f>
        <v>800</v>
      </c>
    </row>
    <row r="115" spans="1:7" ht="0.95" customHeight="1" x14ac:dyDescent="0.25">
      <c r="A115" s="180" t="s">
        <v>183</v>
      </c>
      <c r="B115" s="181"/>
      <c r="C115" s="182"/>
      <c r="D115" s="134" t="s">
        <v>184</v>
      </c>
      <c r="E115" s="127">
        <f t="shared" ref="E115:G115" si="48">E116</f>
        <v>0</v>
      </c>
      <c r="F115" s="127">
        <f t="shared" si="48"/>
        <v>0</v>
      </c>
      <c r="G115" s="127">
        <f t="shared" si="48"/>
        <v>0</v>
      </c>
    </row>
    <row r="116" spans="1:7" ht="0.95" customHeight="1" x14ac:dyDescent="0.25">
      <c r="A116" s="183">
        <v>42</v>
      </c>
      <c r="B116" s="184"/>
      <c r="C116" s="185"/>
      <c r="D116" s="138" t="s">
        <v>29</v>
      </c>
      <c r="E116" s="41"/>
      <c r="F116" s="41">
        <v>0</v>
      </c>
      <c r="G116" s="42">
        <v>0</v>
      </c>
    </row>
    <row r="117" spans="1:7" ht="0.95" customHeight="1" x14ac:dyDescent="0.25">
      <c r="A117" s="180" t="s">
        <v>128</v>
      </c>
      <c r="B117" s="181"/>
      <c r="C117" s="182"/>
      <c r="D117" s="134" t="s">
        <v>130</v>
      </c>
      <c r="E117" s="127">
        <f t="shared" ref="E117:G117" si="49">E118</f>
        <v>2775</v>
      </c>
      <c r="F117" s="127">
        <f t="shared" si="49"/>
        <v>2775</v>
      </c>
      <c r="G117" s="127">
        <f t="shared" si="49"/>
        <v>2775</v>
      </c>
    </row>
    <row r="118" spans="1:7" ht="0.95" customHeight="1" x14ac:dyDescent="0.25">
      <c r="A118" s="183">
        <v>42</v>
      </c>
      <c r="B118" s="184"/>
      <c r="C118" s="185"/>
      <c r="D118" s="138" t="s">
        <v>29</v>
      </c>
      <c r="E118" s="41">
        <v>2775</v>
      </c>
      <c r="F118" s="41">
        <f>E118</f>
        <v>2775</v>
      </c>
      <c r="G118" s="42">
        <f>E118</f>
        <v>2775</v>
      </c>
    </row>
    <row r="119" spans="1:7" s="63" customFormat="1" ht="0.95" customHeight="1" x14ac:dyDescent="0.25">
      <c r="A119" s="180" t="s">
        <v>71</v>
      </c>
      <c r="B119" s="181"/>
      <c r="C119" s="182"/>
      <c r="D119" s="134" t="s">
        <v>40</v>
      </c>
      <c r="E119" s="62">
        <f t="shared" ref="E119:G119" si="50">E120</f>
        <v>31827.23</v>
      </c>
      <c r="F119" s="62">
        <f t="shared" si="50"/>
        <v>31827.23</v>
      </c>
      <c r="G119" s="62">
        <f t="shared" si="50"/>
        <v>31827.23</v>
      </c>
    </row>
    <row r="120" spans="1:7" ht="0.95" customHeight="1" x14ac:dyDescent="0.25">
      <c r="A120" s="183">
        <v>42</v>
      </c>
      <c r="B120" s="184"/>
      <c r="C120" s="185"/>
      <c r="D120" s="138" t="s">
        <v>29</v>
      </c>
      <c r="E120" s="41">
        <v>31827.23</v>
      </c>
      <c r="F120" s="41">
        <v>31827.23</v>
      </c>
      <c r="G120" s="41">
        <v>31827.23</v>
      </c>
    </row>
    <row r="121" spans="1:7" ht="24.95" customHeight="1" x14ac:dyDescent="0.25">
      <c r="A121" s="195" t="s">
        <v>59</v>
      </c>
      <c r="B121" s="196"/>
      <c r="C121" s="197"/>
      <c r="D121" s="140" t="s">
        <v>60</v>
      </c>
      <c r="E121" s="56">
        <v>524900</v>
      </c>
      <c r="F121" s="56">
        <v>524900</v>
      </c>
      <c r="G121" s="56">
        <v>524900</v>
      </c>
    </row>
    <row r="122" spans="1:7" ht="31.9" customHeight="1" x14ac:dyDescent="0.25">
      <c r="A122" s="189" t="s">
        <v>61</v>
      </c>
      <c r="B122" s="190"/>
      <c r="C122" s="191"/>
      <c r="D122" s="139" t="s">
        <v>90</v>
      </c>
      <c r="E122" s="54">
        <v>1000</v>
      </c>
      <c r="F122" s="54">
        <v>1000</v>
      </c>
      <c r="G122" s="54">
        <v>1000</v>
      </c>
    </row>
    <row r="123" spans="1:7" s="63" customFormat="1" ht="0.95" customHeight="1" x14ac:dyDescent="0.25">
      <c r="A123" s="180" t="s">
        <v>72</v>
      </c>
      <c r="B123" s="181"/>
      <c r="C123" s="182"/>
      <c r="D123" s="134" t="s">
        <v>11</v>
      </c>
      <c r="E123" s="60">
        <f>E124</f>
        <v>2000</v>
      </c>
      <c r="F123" s="60">
        <f t="shared" ref="F123:G123" si="51">F124</f>
        <v>2000</v>
      </c>
      <c r="G123" s="60">
        <f t="shared" si="51"/>
        <v>2000</v>
      </c>
    </row>
    <row r="124" spans="1:7" ht="0.95" customHeight="1" x14ac:dyDescent="0.25">
      <c r="A124" s="186">
        <v>3</v>
      </c>
      <c r="B124" s="187"/>
      <c r="C124" s="188"/>
      <c r="D124" s="138" t="s">
        <v>13</v>
      </c>
      <c r="E124" s="41">
        <f t="shared" ref="E124:G124" si="52">E126+E125</f>
        <v>2000</v>
      </c>
      <c r="F124" s="41">
        <f t="shared" si="52"/>
        <v>2000</v>
      </c>
      <c r="G124" s="41">
        <f t="shared" si="52"/>
        <v>2000</v>
      </c>
    </row>
    <row r="125" spans="1:7" ht="0.95" customHeight="1" x14ac:dyDescent="0.25">
      <c r="A125" s="183">
        <v>32</v>
      </c>
      <c r="B125" s="184"/>
      <c r="C125" s="185"/>
      <c r="D125" s="138" t="s">
        <v>23</v>
      </c>
      <c r="E125" s="41">
        <v>2000</v>
      </c>
      <c r="F125" s="41">
        <f>E125</f>
        <v>2000</v>
      </c>
      <c r="G125" s="41">
        <f>E125</f>
        <v>2000</v>
      </c>
    </row>
    <row r="126" spans="1:7" ht="0.95" customHeight="1" x14ac:dyDescent="0.25">
      <c r="A126" s="183">
        <v>37</v>
      </c>
      <c r="B126" s="184"/>
      <c r="C126" s="185"/>
      <c r="D126" s="55" t="s">
        <v>34</v>
      </c>
      <c r="E126" s="41"/>
      <c r="F126" s="41"/>
      <c r="G126" s="42"/>
    </row>
    <row r="127" spans="1:7" ht="24.95" customHeight="1" x14ac:dyDescent="0.25">
      <c r="A127" s="189" t="s">
        <v>62</v>
      </c>
      <c r="B127" s="190"/>
      <c r="C127" s="191"/>
      <c r="D127" s="139" t="s">
        <v>63</v>
      </c>
      <c r="E127" s="54">
        <v>208000</v>
      </c>
      <c r="F127" s="54">
        <v>208000</v>
      </c>
      <c r="G127" s="54">
        <v>208000</v>
      </c>
    </row>
    <row r="128" spans="1:7" s="63" customFormat="1" ht="0.95" customHeight="1" x14ac:dyDescent="0.25">
      <c r="A128" s="180" t="s">
        <v>72</v>
      </c>
      <c r="B128" s="181"/>
      <c r="C128" s="182"/>
      <c r="D128" s="134" t="s">
        <v>11</v>
      </c>
      <c r="E128" s="60">
        <f>E129</f>
        <v>197400</v>
      </c>
      <c r="F128" s="60">
        <f t="shared" ref="F128:G128" si="53">F129</f>
        <v>197400</v>
      </c>
      <c r="G128" s="60">
        <f t="shared" si="53"/>
        <v>197400</v>
      </c>
    </row>
    <row r="129" spans="1:7" ht="0.95" customHeight="1" x14ac:dyDescent="0.25">
      <c r="A129" s="186">
        <v>3</v>
      </c>
      <c r="B129" s="187"/>
      <c r="C129" s="188"/>
      <c r="D129" s="138" t="s">
        <v>13</v>
      </c>
      <c r="E129" s="41">
        <f>E130+E131</f>
        <v>197400</v>
      </c>
      <c r="F129" s="41">
        <f t="shared" ref="F129:G129" si="54">F130+F131</f>
        <v>197400</v>
      </c>
      <c r="G129" s="41">
        <f t="shared" si="54"/>
        <v>197400</v>
      </c>
    </row>
    <row r="130" spans="1:7" ht="0.95" customHeight="1" x14ac:dyDescent="0.25">
      <c r="A130" s="183">
        <v>31</v>
      </c>
      <c r="B130" s="184"/>
      <c r="C130" s="185"/>
      <c r="D130" s="138" t="s">
        <v>14</v>
      </c>
      <c r="E130" s="41">
        <v>195750</v>
      </c>
      <c r="F130" s="41">
        <f>E130</f>
        <v>195750</v>
      </c>
      <c r="G130" s="42">
        <f>E130</f>
        <v>195750</v>
      </c>
    </row>
    <row r="131" spans="1:7" ht="0.95" customHeight="1" x14ac:dyDescent="0.25">
      <c r="A131" s="183">
        <v>32</v>
      </c>
      <c r="B131" s="184"/>
      <c r="C131" s="185"/>
      <c r="D131" s="138" t="s">
        <v>91</v>
      </c>
      <c r="E131" s="41">
        <v>1650</v>
      </c>
      <c r="F131" s="41">
        <f>E131</f>
        <v>1650</v>
      </c>
      <c r="G131" s="42">
        <f>E131</f>
        <v>1650</v>
      </c>
    </row>
    <row r="132" spans="1:7" ht="30.6" customHeight="1" x14ac:dyDescent="0.25">
      <c r="A132" s="189" t="s">
        <v>64</v>
      </c>
      <c r="B132" s="190"/>
      <c r="C132" s="191"/>
      <c r="D132" s="139" t="s">
        <v>89</v>
      </c>
      <c r="E132" s="54">
        <v>70000</v>
      </c>
      <c r="F132" s="54">
        <v>70000</v>
      </c>
      <c r="G132" s="54">
        <v>70000</v>
      </c>
    </row>
    <row r="133" spans="1:7" s="63" customFormat="1" ht="0.95" customHeight="1" x14ac:dyDescent="0.25">
      <c r="A133" s="180" t="s">
        <v>72</v>
      </c>
      <c r="B133" s="181"/>
      <c r="C133" s="182"/>
      <c r="D133" s="134" t="s">
        <v>11</v>
      </c>
      <c r="E133" s="60">
        <f t="shared" ref="E133:G134" si="55">E134</f>
        <v>69000</v>
      </c>
      <c r="F133" s="60">
        <f t="shared" si="55"/>
        <v>69000</v>
      </c>
      <c r="G133" s="60">
        <f t="shared" si="55"/>
        <v>69000</v>
      </c>
    </row>
    <row r="134" spans="1:7" ht="0.95" customHeight="1" x14ac:dyDescent="0.25">
      <c r="A134" s="186">
        <v>3</v>
      </c>
      <c r="B134" s="187"/>
      <c r="C134" s="188"/>
      <c r="D134" s="138" t="s">
        <v>13</v>
      </c>
      <c r="E134" s="41">
        <f t="shared" si="55"/>
        <v>69000</v>
      </c>
      <c r="F134" s="41">
        <f t="shared" si="55"/>
        <v>69000</v>
      </c>
      <c r="G134" s="41">
        <f t="shared" si="55"/>
        <v>69000</v>
      </c>
    </row>
    <row r="135" spans="1:7" ht="0.95" customHeight="1" x14ac:dyDescent="0.25">
      <c r="A135" s="183">
        <v>37</v>
      </c>
      <c r="B135" s="184"/>
      <c r="C135" s="185"/>
      <c r="D135" s="55" t="s">
        <v>34</v>
      </c>
      <c r="E135" s="41">
        <v>69000</v>
      </c>
      <c r="F135" s="41">
        <f>E135</f>
        <v>69000</v>
      </c>
      <c r="G135" s="42">
        <f>E135</f>
        <v>69000</v>
      </c>
    </row>
    <row r="136" spans="1:7" ht="24.95" customHeight="1" x14ac:dyDescent="0.25">
      <c r="A136" s="189" t="s">
        <v>65</v>
      </c>
      <c r="B136" s="190"/>
      <c r="C136" s="191"/>
      <c r="D136" s="139" t="s">
        <v>180</v>
      </c>
      <c r="E136" s="54">
        <f>E145+E148+E137+E142</f>
        <v>16200</v>
      </c>
      <c r="F136" s="54">
        <f>F145+F148+F137</f>
        <v>16200</v>
      </c>
      <c r="G136" s="54">
        <f>G145+G148+G137</f>
        <v>16200</v>
      </c>
    </row>
    <row r="137" spans="1:7" ht="0.95" customHeight="1" x14ac:dyDescent="0.25">
      <c r="A137" s="180" t="s">
        <v>72</v>
      </c>
      <c r="B137" s="181"/>
      <c r="C137" s="182"/>
      <c r="D137" s="134" t="s">
        <v>11</v>
      </c>
      <c r="E137" s="93">
        <f t="shared" ref="E137:G137" si="56">E138+E140</f>
        <v>2500</v>
      </c>
      <c r="F137" s="93">
        <f t="shared" si="56"/>
        <v>2500</v>
      </c>
      <c r="G137" s="93">
        <f t="shared" si="56"/>
        <v>2500</v>
      </c>
    </row>
    <row r="138" spans="1:7" ht="0.95" customHeight="1" x14ac:dyDescent="0.25">
      <c r="A138" s="186">
        <v>3</v>
      </c>
      <c r="B138" s="187"/>
      <c r="C138" s="188"/>
      <c r="D138" s="138" t="s">
        <v>13</v>
      </c>
      <c r="E138" s="90">
        <f t="shared" ref="E138:G138" si="57">E139</f>
        <v>2500</v>
      </c>
      <c r="F138" s="90">
        <f t="shared" si="57"/>
        <v>2500</v>
      </c>
      <c r="G138" s="90">
        <f t="shared" si="57"/>
        <v>2500</v>
      </c>
    </row>
    <row r="139" spans="1:7" ht="0.95" customHeight="1" x14ac:dyDescent="0.25">
      <c r="A139" s="183">
        <v>32</v>
      </c>
      <c r="B139" s="184"/>
      <c r="C139" s="185"/>
      <c r="D139" s="138" t="s">
        <v>23</v>
      </c>
      <c r="E139" s="90">
        <v>2500</v>
      </c>
      <c r="F139" s="90">
        <f>E139</f>
        <v>2500</v>
      </c>
      <c r="G139" s="90">
        <f>E139</f>
        <v>2500</v>
      </c>
    </row>
    <row r="140" spans="1:7" ht="0.95" customHeight="1" x14ac:dyDescent="0.25">
      <c r="A140" s="186">
        <v>4</v>
      </c>
      <c r="B140" s="187"/>
      <c r="C140" s="188"/>
      <c r="D140" s="138" t="s">
        <v>15</v>
      </c>
      <c r="E140" s="41">
        <f t="shared" ref="E140:G140" si="58">E141</f>
        <v>0</v>
      </c>
      <c r="F140" s="41">
        <f t="shared" si="58"/>
        <v>0</v>
      </c>
      <c r="G140" s="41">
        <f t="shared" si="58"/>
        <v>0</v>
      </c>
    </row>
    <row r="141" spans="1:7" ht="0.95" customHeight="1" x14ac:dyDescent="0.25">
      <c r="A141" s="183">
        <v>42</v>
      </c>
      <c r="B141" s="184"/>
      <c r="C141" s="185"/>
      <c r="D141" s="138" t="s">
        <v>29</v>
      </c>
      <c r="E141" s="41"/>
      <c r="F141" s="41"/>
      <c r="G141" s="42"/>
    </row>
    <row r="142" spans="1:7" s="63" customFormat="1" ht="0.95" customHeight="1" x14ac:dyDescent="0.25">
      <c r="A142" s="180" t="s">
        <v>170</v>
      </c>
      <c r="B142" s="181"/>
      <c r="C142" s="182"/>
      <c r="D142" s="134" t="s">
        <v>172</v>
      </c>
      <c r="E142" s="60">
        <f t="shared" ref="E142:G143" si="59">E143</f>
        <v>0</v>
      </c>
      <c r="F142" s="60">
        <f t="shared" si="59"/>
        <v>0</v>
      </c>
      <c r="G142" s="60">
        <f t="shared" si="59"/>
        <v>0</v>
      </c>
    </row>
    <row r="143" spans="1:7" ht="0.95" customHeight="1" x14ac:dyDescent="0.25">
      <c r="A143" s="186">
        <v>3</v>
      </c>
      <c r="B143" s="187"/>
      <c r="C143" s="188"/>
      <c r="D143" s="138" t="s">
        <v>13</v>
      </c>
      <c r="E143" s="41">
        <f t="shared" si="59"/>
        <v>0</v>
      </c>
      <c r="F143" s="41">
        <f t="shared" si="59"/>
        <v>0</v>
      </c>
      <c r="G143" s="41">
        <f t="shared" si="59"/>
        <v>0</v>
      </c>
    </row>
    <row r="144" spans="1:7" ht="0.95" customHeight="1" x14ac:dyDescent="0.25">
      <c r="A144" s="183">
        <v>32</v>
      </c>
      <c r="B144" s="184"/>
      <c r="C144" s="185"/>
      <c r="D144" s="138" t="s">
        <v>23</v>
      </c>
      <c r="E144" s="41"/>
      <c r="F144" s="41"/>
      <c r="G144" s="42"/>
    </row>
    <row r="145" spans="1:7" s="63" customFormat="1" ht="0.95" customHeight="1" x14ac:dyDescent="0.25">
      <c r="A145" s="180" t="s">
        <v>71</v>
      </c>
      <c r="B145" s="181"/>
      <c r="C145" s="182"/>
      <c r="D145" s="134" t="s">
        <v>40</v>
      </c>
      <c r="E145" s="60">
        <f t="shared" ref="E145:G146" si="60">E146</f>
        <v>1600</v>
      </c>
      <c r="F145" s="60">
        <f t="shared" si="60"/>
        <v>1600</v>
      </c>
      <c r="G145" s="60">
        <f t="shared" si="60"/>
        <v>1600</v>
      </c>
    </row>
    <row r="146" spans="1:7" ht="0.95" customHeight="1" x14ac:dyDescent="0.25">
      <c r="A146" s="186">
        <v>3</v>
      </c>
      <c r="B146" s="187"/>
      <c r="C146" s="188"/>
      <c r="D146" s="138" t="s">
        <v>13</v>
      </c>
      <c r="E146" s="41">
        <f t="shared" si="60"/>
        <v>1600</v>
      </c>
      <c r="F146" s="41">
        <f t="shared" si="60"/>
        <v>1600</v>
      </c>
      <c r="G146" s="41">
        <f t="shared" si="60"/>
        <v>1600</v>
      </c>
    </row>
    <row r="147" spans="1:7" ht="0.95" customHeight="1" x14ac:dyDescent="0.25">
      <c r="A147" s="183">
        <v>32</v>
      </c>
      <c r="B147" s="184"/>
      <c r="C147" s="185"/>
      <c r="D147" s="138" t="s">
        <v>23</v>
      </c>
      <c r="E147" s="41">
        <v>1600</v>
      </c>
      <c r="F147" s="41">
        <f>E147</f>
        <v>1600</v>
      </c>
      <c r="G147" s="42">
        <f>E147</f>
        <v>1600</v>
      </c>
    </row>
    <row r="148" spans="1:7" s="63" customFormat="1" ht="0.95" customHeight="1" x14ac:dyDescent="0.25">
      <c r="A148" s="180" t="s">
        <v>88</v>
      </c>
      <c r="B148" s="181"/>
      <c r="C148" s="182"/>
      <c r="D148" s="134" t="s">
        <v>45</v>
      </c>
      <c r="E148" s="60">
        <f t="shared" ref="E148:G149" si="61">E149</f>
        <v>12100</v>
      </c>
      <c r="F148" s="60">
        <f t="shared" si="61"/>
        <v>12100</v>
      </c>
      <c r="G148" s="60">
        <f t="shared" si="61"/>
        <v>12100</v>
      </c>
    </row>
    <row r="149" spans="1:7" ht="0.95" customHeight="1" x14ac:dyDescent="0.25">
      <c r="A149" s="186">
        <v>3</v>
      </c>
      <c r="B149" s="187"/>
      <c r="C149" s="188"/>
      <c r="D149" s="138" t="s">
        <v>13</v>
      </c>
      <c r="E149" s="41">
        <f t="shared" si="61"/>
        <v>12100</v>
      </c>
      <c r="F149" s="41">
        <f t="shared" si="61"/>
        <v>12100</v>
      </c>
      <c r="G149" s="41">
        <f t="shared" si="61"/>
        <v>12100</v>
      </c>
    </row>
    <row r="150" spans="1:7" ht="0.95" customHeight="1" x14ac:dyDescent="0.25">
      <c r="A150" s="183">
        <v>32</v>
      </c>
      <c r="B150" s="184"/>
      <c r="C150" s="185"/>
      <c r="D150" s="138" t="s">
        <v>23</v>
      </c>
      <c r="E150" s="41">
        <v>12100</v>
      </c>
      <c r="F150" s="41">
        <f>E150</f>
        <v>12100</v>
      </c>
      <c r="G150" s="42">
        <f>E150</f>
        <v>12100</v>
      </c>
    </row>
    <row r="151" spans="1:7" s="63" customFormat="1" ht="0.95" customHeight="1" x14ac:dyDescent="0.25">
      <c r="A151" s="180" t="s">
        <v>72</v>
      </c>
      <c r="B151" s="181"/>
      <c r="C151" s="182"/>
      <c r="D151" s="134" t="s">
        <v>11</v>
      </c>
      <c r="E151" s="60">
        <f>E152</f>
        <v>0</v>
      </c>
      <c r="F151" s="60">
        <f t="shared" ref="F151:G151" si="62">F152</f>
        <v>0</v>
      </c>
      <c r="G151" s="60">
        <f t="shared" si="62"/>
        <v>0</v>
      </c>
    </row>
    <row r="152" spans="1:7" ht="0.95" customHeight="1" x14ac:dyDescent="0.25">
      <c r="A152" s="186">
        <v>3</v>
      </c>
      <c r="B152" s="187"/>
      <c r="C152" s="188"/>
      <c r="D152" s="138" t="s">
        <v>13</v>
      </c>
      <c r="E152" s="41">
        <f>SUM(E153:E154)</f>
        <v>0</v>
      </c>
      <c r="F152" s="41">
        <f t="shared" ref="F152:G152" si="63">SUM(F153:F154)</f>
        <v>0</v>
      </c>
      <c r="G152" s="41">
        <f t="shared" si="63"/>
        <v>0</v>
      </c>
    </row>
    <row r="153" spans="1:7" ht="0.95" customHeight="1" x14ac:dyDescent="0.25">
      <c r="A153" s="183">
        <v>31</v>
      </c>
      <c r="B153" s="184"/>
      <c r="C153" s="185"/>
      <c r="D153" s="138" t="s">
        <v>14</v>
      </c>
      <c r="E153" s="41"/>
      <c r="F153" s="41"/>
      <c r="G153" s="42"/>
    </row>
    <row r="154" spans="1:7" ht="0.95" customHeight="1" x14ac:dyDescent="0.25">
      <c r="A154" s="183">
        <v>32</v>
      </c>
      <c r="B154" s="184"/>
      <c r="C154" s="185"/>
      <c r="D154" s="138" t="s">
        <v>132</v>
      </c>
      <c r="E154" s="41"/>
      <c r="F154" s="41"/>
      <c r="G154" s="42"/>
    </row>
    <row r="155" spans="1:7" s="63" customFormat="1" ht="0.95" customHeight="1" x14ac:dyDescent="0.25">
      <c r="A155" s="180" t="s">
        <v>71</v>
      </c>
      <c r="B155" s="181"/>
      <c r="C155" s="182"/>
      <c r="D155" s="134" t="s">
        <v>40</v>
      </c>
      <c r="E155" s="60">
        <f>E156</f>
        <v>0</v>
      </c>
      <c r="F155" s="60">
        <f t="shared" ref="F155:G155" si="64">F156</f>
        <v>0</v>
      </c>
      <c r="G155" s="60">
        <f t="shared" si="64"/>
        <v>0</v>
      </c>
    </row>
    <row r="156" spans="1:7" ht="0.95" customHeight="1" x14ac:dyDescent="0.25">
      <c r="A156" s="186">
        <v>3</v>
      </c>
      <c r="B156" s="187"/>
      <c r="C156" s="188"/>
      <c r="D156" s="138" t="s">
        <v>13</v>
      </c>
      <c r="E156" s="41">
        <f>SUM(E157:E158)</f>
        <v>0</v>
      </c>
      <c r="F156" s="41">
        <f t="shared" ref="F156:G156" si="65">SUM(F157:F158)</f>
        <v>0</v>
      </c>
      <c r="G156" s="41">
        <f t="shared" si="65"/>
        <v>0</v>
      </c>
    </row>
    <row r="157" spans="1:7" ht="0.95" customHeight="1" x14ac:dyDescent="0.25">
      <c r="A157" s="183">
        <v>31</v>
      </c>
      <c r="B157" s="184"/>
      <c r="C157" s="185"/>
      <c r="D157" s="138" t="s">
        <v>14</v>
      </c>
      <c r="E157" s="41"/>
      <c r="F157" s="41"/>
      <c r="G157" s="42"/>
    </row>
    <row r="158" spans="1:7" ht="0.95" customHeight="1" x14ac:dyDescent="0.25">
      <c r="A158" s="183">
        <v>32</v>
      </c>
      <c r="B158" s="184"/>
      <c r="C158" s="185"/>
      <c r="D158" s="138" t="s">
        <v>91</v>
      </c>
      <c r="E158" s="41"/>
      <c r="F158" s="41"/>
      <c r="G158" s="42"/>
    </row>
    <row r="159" spans="1:7" s="63" customFormat="1" ht="0.95" customHeight="1" x14ac:dyDescent="0.25">
      <c r="A159" s="180" t="s">
        <v>88</v>
      </c>
      <c r="B159" s="181"/>
      <c r="C159" s="182"/>
      <c r="D159" s="134" t="s">
        <v>45</v>
      </c>
      <c r="E159" s="60">
        <f>E160</f>
        <v>0</v>
      </c>
      <c r="F159" s="60">
        <f t="shared" ref="F159:G159" si="66">F160</f>
        <v>0</v>
      </c>
      <c r="G159" s="60">
        <f t="shared" si="66"/>
        <v>0</v>
      </c>
    </row>
    <row r="160" spans="1:7" ht="0.95" customHeight="1" x14ac:dyDescent="0.25">
      <c r="A160" s="186">
        <v>3</v>
      </c>
      <c r="B160" s="187"/>
      <c r="C160" s="188"/>
      <c r="D160" s="138" t="s">
        <v>13</v>
      </c>
      <c r="E160" s="41">
        <f>SUM(E161:E162)</f>
        <v>0</v>
      </c>
      <c r="F160" s="41">
        <f t="shared" ref="F160:G160" si="67">SUM(F161:F162)</f>
        <v>0</v>
      </c>
      <c r="G160" s="41">
        <f t="shared" si="67"/>
        <v>0</v>
      </c>
    </row>
    <row r="161" spans="1:7" ht="0.95" customHeight="1" x14ac:dyDescent="0.25">
      <c r="A161" s="183">
        <v>31</v>
      </c>
      <c r="B161" s="184"/>
      <c r="C161" s="185"/>
      <c r="D161" s="138" t="s">
        <v>14</v>
      </c>
      <c r="E161" s="41"/>
      <c r="F161" s="41"/>
      <c r="G161" s="42"/>
    </row>
    <row r="162" spans="1:7" ht="0.95" customHeight="1" x14ac:dyDescent="0.25">
      <c r="A162" s="183">
        <v>32</v>
      </c>
      <c r="B162" s="184"/>
      <c r="C162" s="185"/>
      <c r="D162" s="138" t="s">
        <v>91</v>
      </c>
      <c r="E162" s="41"/>
      <c r="F162" s="41"/>
      <c r="G162" s="42"/>
    </row>
    <row r="163" spans="1:7" s="63" customFormat="1" ht="0.95" customHeight="1" x14ac:dyDescent="0.25">
      <c r="A163" s="180" t="s">
        <v>72</v>
      </c>
      <c r="B163" s="181"/>
      <c r="C163" s="182"/>
      <c r="D163" s="134" t="s">
        <v>11</v>
      </c>
      <c r="E163" s="60">
        <f t="shared" ref="E163:G163" si="68">E164</f>
        <v>0</v>
      </c>
      <c r="F163" s="60">
        <f t="shared" si="68"/>
        <v>0</v>
      </c>
      <c r="G163" s="60">
        <f t="shared" si="68"/>
        <v>0</v>
      </c>
    </row>
    <row r="164" spans="1:7" ht="0.95" customHeight="1" x14ac:dyDescent="0.25">
      <c r="A164" s="186">
        <v>3</v>
      </c>
      <c r="B164" s="187"/>
      <c r="C164" s="188"/>
      <c r="D164" s="138" t="s">
        <v>13</v>
      </c>
      <c r="E164" s="41">
        <f>E165+E166</f>
        <v>0</v>
      </c>
      <c r="F164" s="41">
        <f t="shared" ref="F164:G164" si="69">F165+F166</f>
        <v>0</v>
      </c>
      <c r="G164" s="41">
        <f t="shared" si="69"/>
        <v>0</v>
      </c>
    </row>
    <row r="165" spans="1:7" ht="0.95" customHeight="1" x14ac:dyDescent="0.25">
      <c r="A165" s="183">
        <v>31</v>
      </c>
      <c r="B165" s="184"/>
      <c r="C165" s="185"/>
      <c r="D165" s="138" t="s">
        <v>14</v>
      </c>
      <c r="E165" s="41"/>
      <c r="F165" s="41">
        <v>0</v>
      </c>
      <c r="G165" s="42">
        <v>0</v>
      </c>
    </row>
    <row r="166" spans="1:7" ht="0.95" customHeight="1" x14ac:dyDescent="0.25">
      <c r="A166" s="183">
        <v>32</v>
      </c>
      <c r="B166" s="184"/>
      <c r="C166" s="185"/>
      <c r="D166" s="138" t="s">
        <v>91</v>
      </c>
      <c r="E166" s="41"/>
      <c r="F166" s="41">
        <v>0</v>
      </c>
      <c r="G166" s="42">
        <v>0</v>
      </c>
    </row>
    <row r="167" spans="1:7" ht="24.95" customHeight="1" x14ac:dyDescent="0.25">
      <c r="A167" s="189" t="s">
        <v>69</v>
      </c>
      <c r="B167" s="190"/>
      <c r="C167" s="191"/>
      <c r="D167" s="139" t="s">
        <v>70</v>
      </c>
      <c r="E167" s="54">
        <f>E169</f>
        <v>42000</v>
      </c>
      <c r="F167" s="54">
        <f t="shared" ref="F167:G167" si="70">F169</f>
        <v>42000</v>
      </c>
      <c r="G167" s="54">
        <f t="shared" si="70"/>
        <v>42000</v>
      </c>
    </row>
    <row r="168" spans="1:7" s="63" customFormat="1" ht="0.95" customHeight="1" x14ac:dyDescent="0.25">
      <c r="A168" s="180" t="s">
        <v>72</v>
      </c>
      <c r="B168" s="181"/>
      <c r="C168" s="182"/>
      <c r="D168" s="134" t="s">
        <v>11</v>
      </c>
      <c r="E168" s="60">
        <f>E169</f>
        <v>42000</v>
      </c>
      <c r="F168" s="60">
        <f t="shared" ref="F168:G168" si="71">F169</f>
        <v>42000</v>
      </c>
      <c r="G168" s="60">
        <f t="shared" si="71"/>
        <v>42000</v>
      </c>
    </row>
    <row r="169" spans="1:7" ht="0.95" customHeight="1" x14ac:dyDescent="0.25">
      <c r="A169" s="186">
        <v>3</v>
      </c>
      <c r="B169" s="187"/>
      <c r="C169" s="188"/>
      <c r="D169" s="138" t="s">
        <v>13</v>
      </c>
      <c r="E169" s="41">
        <f>E170+E171</f>
        <v>42000</v>
      </c>
      <c r="F169" s="41">
        <f t="shared" ref="F169:G169" si="72">F170+F171</f>
        <v>42000</v>
      </c>
      <c r="G169" s="41">
        <f t="shared" si="72"/>
        <v>42000</v>
      </c>
    </row>
    <row r="170" spans="1:7" ht="0.95" customHeight="1" x14ac:dyDescent="0.25">
      <c r="A170" s="183">
        <v>31</v>
      </c>
      <c r="B170" s="184"/>
      <c r="C170" s="185"/>
      <c r="D170" s="138" t="s">
        <v>14</v>
      </c>
      <c r="E170" s="41">
        <v>35900</v>
      </c>
      <c r="F170" s="41">
        <f>E170</f>
        <v>35900</v>
      </c>
      <c r="G170" s="42">
        <f>E170</f>
        <v>35900</v>
      </c>
    </row>
    <row r="171" spans="1:7" ht="0.95" customHeight="1" x14ac:dyDescent="0.25">
      <c r="A171" s="183">
        <v>32</v>
      </c>
      <c r="B171" s="184"/>
      <c r="C171" s="185"/>
      <c r="D171" s="138" t="s">
        <v>91</v>
      </c>
      <c r="E171" s="41">
        <v>6100</v>
      </c>
      <c r="F171" s="41">
        <f>E171</f>
        <v>6100</v>
      </c>
      <c r="G171" s="42">
        <f>E171</f>
        <v>6100</v>
      </c>
    </row>
    <row r="172" spans="1:7" ht="30" customHeight="1" x14ac:dyDescent="0.25">
      <c r="A172" s="189" t="s">
        <v>181</v>
      </c>
      <c r="B172" s="190"/>
      <c r="C172" s="191"/>
      <c r="D172" s="139" t="s">
        <v>182</v>
      </c>
      <c r="E172" s="54">
        <v>187700</v>
      </c>
      <c r="F172" s="54">
        <v>187700</v>
      </c>
      <c r="G172" s="54">
        <v>187700</v>
      </c>
    </row>
    <row r="173" spans="1:7" s="63" customFormat="1" ht="0.95" customHeight="1" x14ac:dyDescent="0.25">
      <c r="A173" s="180" t="s">
        <v>72</v>
      </c>
      <c r="B173" s="181"/>
      <c r="C173" s="182"/>
      <c r="D173" s="134" t="s">
        <v>11</v>
      </c>
      <c r="E173" s="60">
        <f>E174</f>
        <v>24230</v>
      </c>
      <c r="F173" s="60">
        <f t="shared" ref="F173:G173" si="73">F174</f>
        <v>24230</v>
      </c>
      <c r="G173" s="60">
        <f t="shared" si="73"/>
        <v>24230</v>
      </c>
    </row>
    <row r="174" spans="1:7" ht="0.95" customHeight="1" x14ac:dyDescent="0.25">
      <c r="A174" s="186">
        <v>3</v>
      </c>
      <c r="B174" s="187"/>
      <c r="C174" s="188"/>
      <c r="D174" s="138" t="s">
        <v>13</v>
      </c>
      <c r="E174" s="41">
        <f>SUM(E175:E176)</f>
        <v>24230</v>
      </c>
      <c r="F174" s="41">
        <f t="shared" ref="F174:G174" si="74">SUM(F175:F176)</f>
        <v>24230</v>
      </c>
      <c r="G174" s="41">
        <f t="shared" si="74"/>
        <v>24230</v>
      </c>
    </row>
    <row r="175" spans="1:7" ht="0.95" customHeight="1" x14ac:dyDescent="0.25">
      <c r="A175" s="183">
        <v>31</v>
      </c>
      <c r="B175" s="184"/>
      <c r="C175" s="185"/>
      <c r="D175" s="138" t="s">
        <v>14</v>
      </c>
      <c r="E175" s="41">
        <f>18700+1300+3000</f>
        <v>23000</v>
      </c>
      <c r="F175" s="41">
        <f>E175</f>
        <v>23000</v>
      </c>
      <c r="G175" s="42">
        <f>E175</f>
        <v>23000</v>
      </c>
    </row>
    <row r="176" spans="1:7" ht="0.95" customHeight="1" x14ac:dyDescent="0.25">
      <c r="A176" s="183">
        <v>32</v>
      </c>
      <c r="B176" s="184"/>
      <c r="C176" s="185"/>
      <c r="D176" s="138" t="s">
        <v>132</v>
      </c>
      <c r="E176" s="41">
        <f>130+1100</f>
        <v>1230</v>
      </c>
      <c r="F176" s="41">
        <f>E176</f>
        <v>1230</v>
      </c>
      <c r="G176" s="42">
        <f>E176</f>
        <v>1230</v>
      </c>
    </row>
    <row r="177" spans="1:7" s="63" customFormat="1" ht="0.95" customHeight="1" x14ac:dyDescent="0.25">
      <c r="A177" s="180" t="s">
        <v>170</v>
      </c>
      <c r="B177" s="181"/>
      <c r="C177" s="182"/>
      <c r="D177" s="134" t="s">
        <v>172</v>
      </c>
      <c r="E177" s="60">
        <f>E178</f>
        <v>20830</v>
      </c>
      <c r="F177" s="60">
        <f t="shared" ref="F177:G177" si="75">F178</f>
        <v>20830</v>
      </c>
      <c r="G177" s="60">
        <f t="shared" si="75"/>
        <v>20830</v>
      </c>
    </row>
    <row r="178" spans="1:7" ht="0.95" customHeight="1" x14ac:dyDescent="0.25">
      <c r="A178" s="186">
        <v>3</v>
      </c>
      <c r="B178" s="187"/>
      <c r="C178" s="188"/>
      <c r="D178" s="138" t="s">
        <v>13</v>
      </c>
      <c r="E178" s="41">
        <f>SUM(E179:E180)</f>
        <v>20830</v>
      </c>
      <c r="F178" s="41">
        <f t="shared" ref="F178:G178" si="76">SUM(F179:F180)</f>
        <v>20830</v>
      </c>
      <c r="G178" s="41">
        <f t="shared" si="76"/>
        <v>20830</v>
      </c>
    </row>
    <row r="179" spans="1:7" ht="0.95" customHeight="1" x14ac:dyDescent="0.25">
      <c r="A179" s="183">
        <v>31</v>
      </c>
      <c r="B179" s="184"/>
      <c r="C179" s="185"/>
      <c r="D179" s="138" t="s">
        <v>14</v>
      </c>
      <c r="E179" s="41">
        <f>16000+1200+2600</f>
        <v>19800</v>
      </c>
      <c r="F179" s="41">
        <f>E179</f>
        <v>19800</v>
      </c>
      <c r="G179" s="42">
        <f>E179</f>
        <v>19800</v>
      </c>
    </row>
    <row r="180" spans="1:7" ht="0.95" customHeight="1" x14ac:dyDescent="0.25">
      <c r="A180" s="183">
        <v>32</v>
      </c>
      <c r="B180" s="184"/>
      <c r="C180" s="185"/>
      <c r="D180" s="138" t="s">
        <v>91</v>
      </c>
      <c r="E180" s="41">
        <f>130+900</f>
        <v>1030</v>
      </c>
      <c r="F180" s="41">
        <f>E180</f>
        <v>1030</v>
      </c>
      <c r="G180" s="42">
        <f>E180</f>
        <v>1030</v>
      </c>
    </row>
    <row r="181" spans="1:7" s="63" customFormat="1" ht="0.95" customHeight="1" x14ac:dyDescent="0.25">
      <c r="A181" s="180" t="s">
        <v>88</v>
      </c>
      <c r="B181" s="181"/>
      <c r="C181" s="182"/>
      <c r="D181" s="134" t="s">
        <v>45</v>
      </c>
      <c r="E181" s="60">
        <f>E182</f>
        <v>117730</v>
      </c>
      <c r="F181" s="60">
        <f t="shared" ref="F181:G181" si="77">F182</f>
        <v>117730</v>
      </c>
      <c r="G181" s="60">
        <f t="shared" si="77"/>
        <v>117730</v>
      </c>
    </row>
    <row r="182" spans="1:7" ht="0.95" customHeight="1" x14ac:dyDescent="0.25">
      <c r="A182" s="186">
        <v>3</v>
      </c>
      <c r="B182" s="187"/>
      <c r="C182" s="188"/>
      <c r="D182" s="138" t="s">
        <v>13</v>
      </c>
      <c r="E182" s="41">
        <f>SUM(E183:E184)</f>
        <v>117730</v>
      </c>
      <c r="F182" s="41">
        <f t="shared" ref="F182:G182" si="78">SUM(F183:F184)</f>
        <v>117730</v>
      </c>
      <c r="G182" s="41">
        <f t="shared" si="78"/>
        <v>117730</v>
      </c>
    </row>
    <row r="183" spans="1:7" ht="0.95" customHeight="1" x14ac:dyDescent="0.25">
      <c r="A183" s="183">
        <v>31</v>
      </c>
      <c r="B183" s="184"/>
      <c r="C183" s="185"/>
      <c r="D183" s="138" t="s">
        <v>14</v>
      </c>
      <c r="E183" s="41">
        <f>90300+6700+14800</f>
        <v>111800</v>
      </c>
      <c r="F183" s="41">
        <f>E183</f>
        <v>111800</v>
      </c>
      <c r="G183" s="42">
        <f>E183</f>
        <v>111800</v>
      </c>
    </row>
    <row r="184" spans="1:7" ht="0.95" customHeight="1" x14ac:dyDescent="0.25">
      <c r="A184" s="183">
        <v>32</v>
      </c>
      <c r="B184" s="184"/>
      <c r="C184" s="185"/>
      <c r="D184" s="138" t="s">
        <v>91</v>
      </c>
      <c r="E184" s="41">
        <f>730+5200</f>
        <v>5930</v>
      </c>
      <c r="F184" s="41">
        <f>E184</f>
        <v>5930</v>
      </c>
      <c r="G184" s="42">
        <f>E184</f>
        <v>5930</v>
      </c>
    </row>
  </sheetData>
  <mergeCells count="177">
    <mergeCell ref="A9:C9"/>
    <mergeCell ref="A10:C10"/>
    <mergeCell ref="A11:C11"/>
    <mergeCell ref="A12:C12"/>
    <mergeCell ref="A13:C13"/>
    <mergeCell ref="A14:C14"/>
    <mergeCell ref="A1:G1"/>
    <mergeCell ref="A3:G3"/>
    <mergeCell ref="A5:C5"/>
    <mergeCell ref="A6:C6"/>
    <mergeCell ref="A7:C7"/>
    <mergeCell ref="A8:C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46:C46"/>
    <mergeCell ref="A47:C47"/>
    <mergeCell ref="A48:C48"/>
    <mergeCell ref="A49:C49"/>
    <mergeCell ref="A50:C50"/>
    <mergeCell ref="A51:C51"/>
    <mergeCell ref="A40:C40"/>
    <mergeCell ref="A41:C41"/>
    <mergeCell ref="A42:C42"/>
    <mergeCell ref="A43:C43"/>
    <mergeCell ref="A44:C44"/>
    <mergeCell ref="A45:C45"/>
    <mergeCell ref="A63:C63"/>
    <mergeCell ref="A64:C64"/>
    <mergeCell ref="A65:C65"/>
    <mergeCell ref="A66:C66"/>
    <mergeCell ref="A67:C67"/>
    <mergeCell ref="A68:C68"/>
    <mergeCell ref="A52:C52"/>
    <mergeCell ref="A55:C55"/>
    <mergeCell ref="A59:C59"/>
    <mergeCell ref="A60:C60"/>
    <mergeCell ref="A61:C61"/>
    <mergeCell ref="A62:C62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99:C99"/>
    <mergeCell ref="A100:C100"/>
    <mergeCell ref="A101:C101"/>
    <mergeCell ref="A102:C102"/>
    <mergeCell ref="A103:C103"/>
    <mergeCell ref="A104:C104"/>
    <mergeCell ref="A93:C93"/>
    <mergeCell ref="A94:C94"/>
    <mergeCell ref="A95:C95"/>
    <mergeCell ref="A96:C96"/>
    <mergeCell ref="A97:C97"/>
    <mergeCell ref="A98:C98"/>
    <mergeCell ref="A111:C111"/>
    <mergeCell ref="A112:C112"/>
    <mergeCell ref="A113:C113"/>
    <mergeCell ref="A114:C114"/>
    <mergeCell ref="A115:C115"/>
    <mergeCell ref="A116:C116"/>
    <mergeCell ref="A105:C105"/>
    <mergeCell ref="A106:C106"/>
    <mergeCell ref="A107:C107"/>
    <mergeCell ref="A108:C108"/>
    <mergeCell ref="A109:C109"/>
    <mergeCell ref="A110:C110"/>
    <mergeCell ref="A123:C123"/>
    <mergeCell ref="A124:C124"/>
    <mergeCell ref="A125:C125"/>
    <mergeCell ref="A126:C126"/>
    <mergeCell ref="A127:C127"/>
    <mergeCell ref="A128:C128"/>
    <mergeCell ref="A117:C117"/>
    <mergeCell ref="A118:C118"/>
    <mergeCell ref="A119:C119"/>
    <mergeCell ref="A120:C120"/>
    <mergeCell ref="A121:C121"/>
    <mergeCell ref="A122:C122"/>
    <mergeCell ref="A135:C135"/>
    <mergeCell ref="A136:C136"/>
    <mergeCell ref="A137:C137"/>
    <mergeCell ref="A138:C138"/>
    <mergeCell ref="A139:C139"/>
    <mergeCell ref="A140:C140"/>
    <mergeCell ref="A129:C129"/>
    <mergeCell ref="A130:C130"/>
    <mergeCell ref="A131:C131"/>
    <mergeCell ref="A132:C132"/>
    <mergeCell ref="A133:C133"/>
    <mergeCell ref="A134:C134"/>
    <mergeCell ref="A147:C147"/>
    <mergeCell ref="A148:C148"/>
    <mergeCell ref="A149:C149"/>
    <mergeCell ref="A150:C150"/>
    <mergeCell ref="A151:C151"/>
    <mergeCell ref="A141:C141"/>
    <mergeCell ref="A142:C142"/>
    <mergeCell ref="A143:C143"/>
    <mergeCell ref="A144:C144"/>
    <mergeCell ref="A145:C145"/>
    <mergeCell ref="A146:C146"/>
    <mergeCell ref="A159:C159"/>
    <mergeCell ref="A160:C160"/>
    <mergeCell ref="A161:C161"/>
    <mergeCell ref="A162:C162"/>
    <mergeCell ref="A152:C152"/>
    <mergeCell ref="A153:C153"/>
    <mergeCell ref="A154:C154"/>
    <mergeCell ref="A155:C155"/>
    <mergeCell ref="A156:C156"/>
    <mergeCell ref="A157:C157"/>
    <mergeCell ref="A181:C181"/>
    <mergeCell ref="A182:C182"/>
    <mergeCell ref="A183:C183"/>
    <mergeCell ref="A184:C184"/>
    <mergeCell ref="A27:C27"/>
    <mergeCell ref="A175:C175"/>
    <mergeCell ref="A176:C176"/>
    <mergeCell ref="A177:C177"/>
    <mergeCell ref="A178:C178"/>
    <mergeCell ref="A179:C179"/>
    <mergeCell ref="A180:C180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58:C158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 po eko</vt:lpstr>
      <vt:lpstr>Prihodi i rashodi po izvorima</vt:lpstr>
      <vt:lpstr>Rashodi prema funkcijskoj kl</vt:lpstr>
      <vt:lpstr>POSEBNI DIO</vt:lpstr>
      <vt:lpstr>IZVORI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2025-09-19T09:39:25Z</cp:lastPrinted>
  <dcterms:created xsi:type="dcterms:W3CDTF">2022-08-12T12:51:27Z</dcterms:created>
  <dcterms:modified xsi:type="dcterms:W3CDTF">2025-09-29T10:28:11Z</dcterms:modified>
</cp:coreProperties>
</file>