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SAŽETAK" sheetId="13" r:id="rId1"/>
    <sheet name=" Račun prihoda i rashoda" sheetId="3" r:id="rId2"/>
    <sheet name="Prihodi i rashodi po izvorima" sheetId="12" r:id="rId3"/>
    <sheet name="Rashodi prema funkcijskoj kl" sheetId="5" r:id="rId4"/>
    <sheet name="POSEBNI DIO" sheetId="7" r:id="rId5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2" l="1"/>
  <c r="G17" i="12" s="1"/>
  <c r="E17" i="12"/>
  <c r="G19" i="3"/>
  <c r="F13" i="3"/>
  <c r="F17" i="3"/>
  <c r="F21" i="3"/>
  <c r="E21" i="3"/>
  <c r="G24" i="3"/>
  <c r="G22" i="3"/>
  <c r="G21" i="3" s="1"/>
  <c r="F22" i="3"/>
  <c r="E24" i="3"/>
  <c r="E22" i="3"/>
  <c r="F24" i="3"/>
  <c r="I23" i="3"/>
  <c r="H23" i="3"/>
  <c r="H19" i="3"/>
  <c r="I19" i="3"/>
  <c r="G69" i="3"/>
  <c r="G83" i="3"/>
  <c r="G79" i="3"/>
  <c r="G78" i="3"/>
  <c r="G82" i="3"/>
  <c r="G81" i="3"/>
  <c r="C12" i="5"/>
  <c r="C13" i="5"/>
  <c r="D12" i="5"/>
  <c r="D13" i="5"/>
  <c r="H17" i="12" l="1"/>
  <c r="I22" i="3"/>
  <c r="H22" i="3"/>
  <c r="F30" i="3"/>
  <c r="F18" i="3"/>
  <c r="F51" i="3"/>
  <c r="F69" i="3"/>
  <c r="F67" i="3"/>
  <c r="F65" i="3"/>
  <c r="F33" i="12"/>
  <c r="F32" i="12"/>
  <c r="F252" i="7"/>
  <c r="F253" i="7"/>
  <c r="F153" i="7"/>
  <c r="F147" i="7"/>
  <c r="F143" i="7"/>
  <c r="F221" i="7"/>
  <c r="F219" i="7"/>
  <c r="F211" i="7"/>
  <c r="F32" i="7"/>
  <c r="F15" i="7"/>
  <c r="F130" i="3" l="1"/>
  <c r="F150" i="3"/>
  <c r="F141" i="3"/>
  <c r="F138" i="3"/>
  <c r="F134" i="3"/>
  <c r="F99" i="3"/>
  <c r="F92" i="3"/>
  <c r="E36" i="12"/>
  <c r="E40" i="12"/>
  <c r="E39" i="12"/>
  <c r="E38" i="12"/>
  <c r="E37" i="12"/>
  <c r="E35" i="12"/>
  <c r="E34" i="12"/>
  <c r="E33" i="12"/>
  <c r="E32" i="12"/>
  <c r="E31" i="12"/>
  <c r="E30" i="12"/>
  <c r="E29" i="12"/>
  <c r="E28" i="12"/>
  <c r="E27" i="12"/>
  <c r="F55" i="3"/>
  <c r="F54" i="3" s="1"/>
  <c r="F50" i="3"/>
  <c r="F33" i="3"/>
  <c r="F32" i="3" s="1"/>
  <c r="E56" i="3"/>
  <c r="E55" i="3"/>
  <c r="F14" i="3"/>
  <c r="F46" i="3"/>
  <c r="F45" i="3" s="1"/>
  <c r="F42" i="3"/>
  <c r="F41" i="3" s="1"/>
  <c r="F40" i="3" s="1"/>
  <c r="F38" i="3"/>
  <c r="F37" i="3" s="1"/>
  <c r="F36" i="3" s="1"/>
  <c r="F27" i="3"/>
  <c r="F26" i="3" s="1"/>
  <c r="F81" i="3"/>
  <c r="F82" i="3"/>
  <c r="F83" i="3"/>
  <c r="F79" i="3"/>
  <c r="F78" i="3"/>
  <c r="E199" i="7"/>
  <c r="E291" i="7"/>
  <c r="E230" i="7"/>
  <c r="E286" i="7"/>
  <c r="E252" i="7"/>
  <c r="E282" i="7"/>
  <c r="E181" i="7"/>
  <c r="E274" i="7"/>
  <c r="E262" i="7"/>
  <c r="E139" i="7"/>
  <c r="E63" i="7"/>
  <c r="E80" i="7"/>
  <c r="E188" i="7"/>
  <c r="E343" i="7"/>
  <c r="E375" i="7"/>
  <c r="E382" i="7"/>
  <c r="E226" i="7"/>
  <c r="E222" i="7"/>
  <c r="E207" i="7"/>
  <c r="E117" i="7"/>
  <c r="E120" i="7"/>
  <c r="E118" i="7"/>
  <c r="E107" i="7"/>
  <c r="E130" i="7"/>
  <c r="E137" i="7"/>
  <c r="E259" i="7"/>
  <c r="E272" i="7"/>
  <c r="E278" i="7"/>
  <c r="E178" i="7"/>
  <c r="E157" i="7" s="1"/>
  <c r="E158" i="7"/>
  <c r="E242" i="7"/>
  <c r="E369" i="7"/>
  <c r="E362" i="7"/>
  <c r="E338" i="7"/>
  <c r="E356" i="7"/>
  <c r="E349" i="7"/>
  <c r="E396" i="7"/>
  <c r="E389" i="7"/>
  <c r="E329" i="7"/>
  <c r="E317" i="7"/>
  <c r="E310" i="7"/>
  <c r="E62" i="7"/>
  <c r="E41" i="7"/>
  <c r="E13" i="7"/>
  <c r="E257" i="7"/>
  <c r="F69" i="7"/>
  <c r="G69" i="7" s="1"/>
  <c r="E68" i="7"/>
  <c r="F63" i="7"/>
  <c r="F62" i="7" s="1"/>
  <c r="F61" i="7" s="1"/>
  <c r="F91" i="3" l="1"/>
  <c r="E270" i="7"/>
  <c r="E106" i="7"/>
  <c r="E66" i="7"/>
  <c r="E67" i="7"/>
  <c r="E61" i="7"/>
  <c r="E60" i="7"/>
  <c r="F68" i="7"/>
  <c r="F67" i="7" s="1"/>
  <c r="F60" i="7"/>
  <c r="G63" i="7"/>
  <c r="G67" i="7"/>
  <c r="F66" i="7"/>
  <c r="G61" i="7"/>
  <c r="E19" i="12" l="1"/>
  <c r="E18" i="12"/>
  <c r="E16" i="12"/>
  <c r="E14" i="12"/>
  <c r="E13" i="12"/>
  <c r="E187" i="7"/>
  <c r="E156" i="7"/>
  <c r="F231" i="7" l="1"/>
  <c r="F274" i="7" l="1"/>
  <c r="F262" i="7"/>
  <c r="F144" i="7"/>
  <c r="F203" i="7"/>
  <c r="E198" i="7"/>
  <c r="E197" i="7" s="1"/>
  <c r="E290" i="7"/>
  <c r="F291" i="7"/>
  <c r="F290" i="7" s="1"/>
  <c r="F195" i="7"/>
  <c r="F192" i="7"/>
  <c r="F189" i="7"/>
  <c r="G290" i="7" l="1"/>
  <c r="F188" i="7"/>
  <c r="G188" i="7" s="1"/>
  <c r="F261" i="7"/>
  <c r="G262" i="7"/>
  <c r="F200" i="7"/>
  <c r="F199" i="7"/>
  <c r="F198" i="7" s="1"/>
  <c r="F197" i="7" s="1"/>
  <c r="F35" i="12" s="1"/>
  <c r="G291" i="7"/>
  <c r="F187" i="7"/>
  <c r="F166" i="7"/>
  <c r="F130" i="7"/>
  <c r="F58" i="7"/>
  <c r="F323" i="7"/>
  <c r="F383" i="7"/>
  <c r="F382" i="7" s="1"/>
  <c r="F370" i="7"/>
  <c r="F365" i="7"/>
  <c r="F363" i="7"/>
  <c r="F354" i="7"/>
  <c r="F352" i="7"/>
  <c r="F350" i="7"/>
  <c r="F378" i="7"/>
  <c r="F397" i="7"/>
  <c r="G187" i="7" l="1"/>
  <c r="F153" i="3"/>
  <c r="G153" i="3"/>
  <c r="F151" i="3"/>
  <c r="G151" i="3"/>
  <c r="E153" i="3"/>
  <c r="E151" i="3"/>
  <c r="H154" i="3"/>
  <c r="E142" i="3"/>
  <c r="F142" i="3"/>
  <c r="G142" i="3"/>
  <c r="I28" i="3"/>
  <c r="I29" i="3"/>
  <c r="H28" i="3"/>
  <c r="H29" i="3"/>
  <c r="G27" i="3"/>
  <c r="E27" i="3"/>
  <c r="H27" i="3" l="1"/>
  <c r="G150" i="3"/>
  <c r="H153" i="3"/>
  <c r="E150" i="3"/>
  <c r="I27" i="3"/>
  <c r="F214" i="7" l="1"/>
  <c r="F301" i="7"/>
  <c r="F357" i="7"/>
  <c r="F356" i="7" s="1"/>
  <c r="F402" i="7"/>
  <c r="F400" i="7"/>
  <c r="F239" i="7"/>
  <c r="F233" i="7"/>
  <c r="F100" i="7"/>
  <c r="E100" i="7"/>
  <c r="F150" i="7"/>
  <c r="I65" i="3"/>
  <c r="I66" i="3"/>
  <c r="I67" i="3"/>
  <c r="I68" i="3"/>
  <c r="I69" i="3"/>
  <c r="I70" i="3"/>
  <c r="H65" i="3"/>
  <c r="H66" i="3"/>
  <c r="H67" i="3"/>
  <c r="H68" i="3"/>
  <c r="H69" i="3"/>
  <c r="H70" i="3"/>
  <c r="I78" i="3"/>
  <c r="I79" i="3"/>
  <c r="I80" i="3"/>
  <c r="I81" i="3"/>
  <c r="I82" i="3"/>
  <c r="I83" i="3"/>
  <c r="H78" i="3"/>
  <c r="H79" i="3"/>
  <c r="H80" i="3"/>
  <c r="H81" i="3"/>
  <c r="H82" i="3"/>
  <c r="H83" i="3"/>
  <c r="H128" i="3" l="1"/>
  <c r="H124" i="3"/>
  <c r="G123" i="3"/>
  <c r="E123" i="3"/>
  <c r="H117" i="3"/>
  <c r="I139" i="3"/>
  <c r="H94" i="3"/>
  <c r="H96" i="3"/>
  <c r="H98" i="3"/>
  <c r="H101" i="3"/>
  <c r="H102" i="3"/>
  <c r="H103" i="3"/>
  <c r="H104" i="3"/>
  <c r="H106" i="3"/>
  <c r="H107" i="3"/>
  <c r="H108" i="3"/>
  <c r="H109" i="3"/>
  <c r="H110" i="3"/>
  <c r="H111" i="3"/>
  <c r="H113" i="3"/>
  <c r="H114" i="3"/>
  <c r="H115" i="3"/>
  <c r="H116" i="3"/>
  <c r="H118" i="3"/>
  <c r="H119" i="3"/>
  <c r="H120" i="3"/>
  <c r="H122" i="3"/>
  <c r="H125" i="3"/>
  <c r="H126" i="3"/>
  <c r="H127" i="3"/>
  <c r="H129" i="3"/>
  <c r="H132" i="3"/>
  <c r="H133" i="3"/>
  <c r="H136" i="3"/>
  <c r="H137" i="3"/>
  <c r="H139" i="3"/>
  <c r="H143" i="3"/>
  <c r="H144" i="3"/>
  <c r="H147" i="3"/>
  <c r="H149" i="3"/>
  <c r="H152" i="3"/>
  <c r="F148" i="3"/>
  <c r="G148" i="3"/>
  <c r="G138" i="3"/>
  <c r="I138" i="3" s="1"/>
  <c r="E138" i="3"/>
  <c r="G135" i="3"/>
  <c r="G131" i="3"/>
  <c r="G130" i="3" s="1"/>
  <c r="G121" i="3"/>
  <c r="G112" i="3"/>
  <c r="G105" i="3"/>
  <c r="G100" i="3"/>
  <c r="E112" i="3"/>
  <c r="E105" i="3"/>
  <c r="E100" i="3"/>
  <c r="G97" i="3"/>
  <c r="G95" i="3"/>
  <c r="G93" i="3"/>
  <c r="I16" i="3"/>
  <c r="I20" i="3"/>
  <c r="I25" i="3"/>
  <c r="I35" i="3"/>
  <c r="I43" i="3"/>
  <c r="I48" i="3"/>
  <c r="I53" i="3"/>
  <c r="I57" i="3"/>
  <c r="H16" i="3"/>
  <c r="H20" i="3"/>
  <c r="H25" i="3"/>
  <c r="H35" i="3"/>
  <c r="H43" i="3"/>
  <c r="H48" i="3"/>
  <c r="H53" i="3"/>
  <c r="H57" i="3"/>
  <c r="I52" i="3"/>
  <c r="H39" i="3"/>
  <c r="I31" i="3"/>
  <c r="G54" i="3"/>
  <c r="G56" i="3"/>
  <c r="H56" i="3" s="1"/>
  <c r="I44" i="3"/>
  <c r="H47" i="3"/>
  <c r="I130" i="3" l="1"/>
  <c r="H138" i="3"/>
  <c r="H142" i="3"/>
  <c r="H112" i="3"/>
  <c r="H100" i="3"/>
  <c r="I150" i="3"/>
  <c r="G134" i="3"/>
  <c r="G141" i="3"/>
  <c r="H123" i="3"/>
  <c r="H105" i="3"/>
  <c r="G92" i="3"/>
  <c r="F140" i="3"/>
  <c r="G99" i="3"/>
  <c r="H52" i="3"/>
  <c r="I47" i="3"/>
  <c r="I56" i="3"/>
  <c r="G55" i="3"/>
  <c r="I55" i="3" s="1"/>
  <c r="H31" i="3"/>
  <c r="H44" i="3"/>
  <c r="I39" i="3"/>
  <c r="H14" i="13" l="1"/>
  <c r="F90" i="3"/>
  <c r="H13" i="13"/>
  <c r="I134" i="3"/>
  <c r="I141" i="3"/>
  <c r="G140" i="3"/>
  <c r="I14" i="13" s="1"/>
  <c r="I99" i="3"/>
  <c r="G91" i="3"/>
  <c r="I92" i="3"/>
  <c r="H55" i="3"/>
  <c r="F12" i="5"/>
  <c r="F13" i="5"/>
  <c r="E12" i="5"/>
  <c r="E13" i="5"/>
  <c r="H32" i="12"/>
  <c r="H33" i="12"/>
  <c r="H35" i="12"/>
  <c r="G32" i="12"/>
  <c r="G33" i="12"/>
  <c r="G35" i="12"/>
  <c r="H22" i="13"/>
  <c r="I22" i="13"/>
  <c r="G22" i="13"/>
  <c r="H12" i="13" l="1"/>
  <c r="G90" i="3"/>
  <c r="I13" i="13"/>
  <c r="I12" i="13" s="1"/>
  <c r="I140" i="3"/>
  <c r="I91" i="3"/>
  <c r="B11" i="5"/>
  <c r="D26" i="12"/>
  <c r="E148" i="3"/>
  <c r="E135" i="3"/>
  <c r="E131" i="3"/>
  <c r="E121" i="3"/>
  <c r="E97" i="3"/>
  <c r="H97" i="3" s="1"/>
  <c r="E95" i="3"/>
  <c r="H95" i="3" s="1"/>
  <c r="E93" i="3"/>
  <c r="E64" i="3"/>
  <c r="E54" i="3"/>
  <c r="H54" i="3" s="1"/>
  <c r="E51" i="3"/>
  <c r="E50" i="3" s="1"/>
  <c r="E49" i="3" s="1"/>
  <c r="E46" i="3"/>
  <c r="E45" i="3" s="1"/>
  <c r="E42" i="3"/>
  <c r="E41" i="3" s="1"/>
  <c r="E38" i="3"/>
  <c r="E37" i="3" s="1"/>
  <c r="E36" i="3" s="1"/>
  <c r="E34" i="3"/>
  <c r="E33" i="3" s="1"/>
  <c r="E32" i="3" s="1"/>
  <c r="E30" i="3"/>
  <c r="E26" i="3" s="1"/>
  <c r="E18" i="3"/>
  <c r="E15" i="3"/>
  <c r="E14" i="3" s="1"/>
  <c r="E17" i="3" l="1"/>
  <c r="I90" i="3"/>
  <c r="K12" i="13"/>
  <c r="H150" i="3"/>
  <c r="H151" i="3"/>
  <c r="H148" i="3"/>
  <c r="E141" i="3"/>
  <c r="E134" i="3"/>
  <c r="H134" i="3" s="1"/>
  <c r="H135" i="3"/>
  <c r="E130" i="3"/>
  <c r="H130" i="3" s="1"/>
  <c r="H131" i="3"/>
  <c r="H121" i="3"/>
  <c r="E99" i="3"/>
  <c r="H99" i="3" s="1"/>
  <c r="E92" i="3"/>
  <c r="H93" i="3"/>
  <c r="E13" i="3"/>
  <c r="E12" i="3" s="1"/>
  <c r="G10" i="13" s="1"/>
  <c r="G9" i="13" s="1"/>
  <c r="B10" i="5"/>
  <c r="D11" i="12"/>
  <c r="E77" i="3"/>
  <c r="E40" i="3"/>
  <c r="E140" i="3" l="1"/>
  <c r="H141" i="3"/>
  <c r="E91" i="3"/>
  <c r="G13" i="13" s="1"/>
  <c r="H92" i="3"/>
  <c r="H140" i="3" l="1"/>
  <c r="G14" i="13"/>
  <c r="G12" i="13" s="1"/>
  <c r="E90" i="3"/>
  <c r="H90" i="3" s="1"/>
  <c r="H91" i="3"/>
  <c r="E26" i="12"/>
  <c r="J12" i="13" l="1"/>
  <c r="G15" i="13"/>
  <c r="G24" i="13" s="1"/>
  <c r="I54" i="3" l="1"/>
  <c r="G15" i="3"/>
  <c r="G51" i="3"/>
  <c r="F294" i="7"/>
  <c r="E138" i="7"/>
  <c r="G64" i="3"/>
  <c r="F64" i="3"/>
  <c r="I64" i="3" l="1"/>
  <c r="H64" i="3"/>
  <c r="H51" i="3"/>
  <c r="I51" i="3"/>
  <c r="G14" i="3"/>
  <c r="F15" i="12" s="1"/>
  <c r="H15" i="3"/>
  <c r="I15" i="3"/>
  <c r="F77" i="3"/>
  <c r="G77" i="3"/>
  <c r="F115" i="7"/>
  <c r="E86" i="7"/>
  <c r="E309" i="7"/>
  <c r="H15" i="12" l="1"/>
  <c r="G15" i="12"/>
  <c r="I77" i="3"/>
  <c r="H77" i="3"/>
  <c r="I14" i="3"/>
  <c r="H14" i="3"/>
  <c r="F330" i="7"/>
  <c r="F333" i="7"/>
  <c r="G333" i="7" s="1"/>
  <c r="E328" i="7"/>
  <c r="F305" i="7"/>
  <c r="F300" i="7" s="1"/>
  <c r="F255" i="7"/>
  <c r="E255" i="7"/>
  <c r="F268" i="7"/>
  <c r="E267" i="7"/>
  <c r="F182" i="7"/>
  <c r="F267" i="7" l="1"/>
  <c r="G268" i="7"/>
  <c r="F236" i="7"/>
  <c r="F230" i="7" s="1"/>
  <c r="F184" i="7"/>
  <c r="F181" i="7" s="1"/>
  <c r="F48" i="7"/>
  <c r="F392" i="7"/>
  <c r="F265" i="7"/>
  <c r="F178" i="7"/>
  <c r="F175" i="7"/>
  <c r="F259" i="7"/>
  <c r="F226" i="7"/>
  <c r="F88" i="7"/>
  <c r="F90" i="7"/>
  <c r="E90" i="7"/>
  <c r="F93" i="7"/>
  <c r="F92" i="7" s="1"/>
  <c r="G92" i="7" s="1"/>
  <c r="E93" i="7"/>
  <c r="E85" i="7"/>
  <c r="E88" i="7"/>
  <c r="F248" i="7"/>
  <c r="F257" i="7" l="1"/>
  <c r="F87" i="7"/>
  <c r="G87" i="7" s="1"/>
  <c r="F286" i="7"/>
  <c r="F18" i="7"/>
  <c r="F278" i="7"/>
  <c r="F210" i="7"/>
  <c r="F245" i="7"/>
  <c r="F86" i="7" l="1"/>
  <c r="F85" i="7" s="1"/>
  <c r="G85" i="7" s="1"/>
  <c r="F380" i="7"/>
  <c r="G323" i="7"/>
  <c r="G305" i="7"/>
  <c r="G296" i="7"/>
  <c r="F282" i="7"/>
  <c r="F270" i="7" s="1"/>
  <c r="F273" i="7"/>
  <c r="F271" i="7"/>
  <c r="F264" i="7"/>
  <c r="E264" i="7"/>
  <c r="E261" i="7"/>
  <c r="G261" i="7" s="1"/>
  <c r="F258" i="7"/>
  <c r="F28" i="12" s="1"/>
  <c r="G295" i="7"/>
  <c r="G265" i="7"/>
  <c r="F243" i="7"/>
  <c r="F242" i="7" s="1"/>
  <c r="F223" i="7"/>
  <c r="F222" i="7" s="1"/>
  <c r="F218" i="7"/>
  <c r="F208" i="7"/>
  <c r="F161" i="7"/>
  <c r="F159" i="7"/>
  <c r="F148" i="7"/>
  <c r="F142" i="7"/>
  <c r="F140" i="7"/>
  <c r="G226" i="7"/>
  <c r="G230" i="7"/>
  <c r="G199" i="7"/>
  <c r="G181" i="7"/>
  <c r="G178" i="7"/>
  <c r="G137" i="7"/>
  <c r="G126" i="7"/>
  <c r="G77" i="7"/>
  <c r="F122" i="7"/>
  <c r="F120" i="7"/>
  <c r="F118" i="7"/>
  <c r="F113" i="7"/>
  <c r="F111" i="7"/>
  <c r="F109" i="7"/>
  <c r="F83" i="7"/>
  <c r="F81" i="7"/>
  <c r="F103" i="7"/>
  <c r="F102" i="7" s="1"/>
  <c r="G102" i="7" s="1"/>
  <c r="F98" i="7"/>
  <c r="H28" i="12" l="1"/>
  <c r="G28" i="12"/>
  <c r="F281" i="7"/>
  <c r="F107" i="7"/>
  <c r="F97" i="7"/>
  <c r="G97" i="7" s="1"/>
  <c r="G264" i="7"/>
  <c r="F293" i="7"/>
  <c r="F80" i="7"/>
  <c r="G382" i="7"/>
  <c r="F285" i="7"/>
  <c r="F40" i="12" s="1"/>
  <c r="F277" i="7"/>
  <c r="F207" i="7"/>
  <c r="F206" i="7" s="1"/>
  <c r="F205" i="7" s="1"/>
  <c r="F37" i="12" s="1"/>
  <c r="F158" i="7"/>
  <c r="F108" i="7"/>
  <c r="F117" i="7"/>
  <c r="F139" i="7"/>
  <c r="F138" i="7" s="1"/>
  <c r="F29" i="12" s="1"/>
  <c r="F96" i="7"/>
  <c r="F95" i="7" s="1"/>
  <c r="F33" i="7"/>
  <c r="F24" i="7"/>
  <c r="F14" i="7"/>
  <c r="F42" i="7"/>
  <c r="F41" i="7" s="1"/>
  <c r="G41" i="7" s="1"/>
  <c r="F56" i="7"/>
  <c r="F318" i="7"/>
  <c r="F317" i="7" s="1"/>
  <c r="G317" i="7" s="1"/>
  <c r="F315" i="7"/>
  <c r="F313" i="7"/>
  <c r="F311" i="7"/>
  <c r="F394" i="7"/>
  <c r="F390" i="7"/>
  <c r="F344" i="7"/>
  <c r="F343" i="7" s="1"/>
  <c r="F342" i="7" s="1"/>
  <c r="F339" i="7"/>
  <c r="F338" i="7" s="1"/>
  <c r="F329" i="7"/>
  <c r="F328" i="7" s="1"/>
  <c r="F376" i="7"/>
  <c r="F369" i="7"/>
  <c r="F367" i="7"/>
  <c r="F362" i="7" s="1"/>
  <c r="G356" i="7"/>
  <c r="H40" i="12" l="1"/>
  <c r="G40" i="12"/>
  <c r="G37" i="12"/>
  <c r="H37" i="12"/>
  <c r="H29" i="12"/>
  <c r="G29" i="12"/>
  <c r="F375" i="7"/>
  <c r="F374" i="7" s="1"/>
  <c r="F373" i="7" s="1"/>
  <c r="F34" i="12" s="1"/>
  <c r="F55" i="7"/>
  <c r="G55" i="7" s="1"/>
  <c r="G369" i="7"/>
  <c r="F349" i="7"/>
  <c r="F348" i="7" s="1"/>
  <c r="F347" i="7" s="1"/>
  <c r="F396" i="7"/>
  <c r="G396" i="7" s="1"/>
  <c r="F389" i="7"/>
  <c r="F157" i="7"/>
  <c r="F156" i="7" s="1"/>
  <c r="F30" i="12" s="1"/>
  <c r="G375" i="7"/>
  <c r="F361" i="7"/>
  <c r="F360" i="7" s="1"/>
  <c r="F36" i="12" s="1"/>
  <c r="F327" i="7"/>
  <c r="G329" i="7"/>
  <c r="F106" i="7"/>
  <c r="F105" i="7" s="1"/>
  <c r="F13" i="7"/>
  <c r="F310" i="7"/>
  <c r="G34" i="12" l="1"/>
  <c r="H34" i="12"/>
  <c r="H36" i="12"/>
  <c r="G36" i="12"/>
  <c r="H30" i="12"/>
  <c r="G30" i="12"/>
  <c r="G349" i="7"/>
  <c r="F388" i="7"/>
  <c r="F386" i="7" s="1"/>
  <c r="G362" i="7"/>
  <c r="F346" i="7"/>
  <c r="F309" i="7"/>
  <c r="F308" i="7" s="1"/>
  <c r="F12" i="7"/>
  <c r="F10" i="7" s="1"/>
  <c r="F387" i="7" l="1"/>
  <c r="D11" i="5" l="1"/>
  <c r="E11" i="5" s="1"/>
  <c r="G46" i="3"/>
  <c r="G42" i="3"/>
  <c r="G40" i="3" s="1"/>
  <c r="G50" i="3"/>
  <c r="F12" i="12" s="1"/>
  <c r="G30" i="3"/>
  <c r="G26" i="3" s="1"/>
  <c r="F16" i="12" s="1"/>
  <c r="G18" i="3"/>
  <c r="G38" i="3"/>
  <c r="G34" i="3"/>
  <c r="G12" i="12" l="1"/>
  <c r="H16" i="12"/>
  <c r="G16" i="12"/>
  <c r="G41" i="3"/>
  <c r="F13" i="12" s="1"/>
  <c r="H42" i="3"/>
  <c r="I42" i="3"/>
  <c r="G37" i="3"/>
  <c r="F14" i="12" s="1"/>
  <c r="I38" i="3"/>
  <c r="H38" i="3"/>
  <c r="H24" i="3"/>
  <c r="I24" i="3"/>
  <c r="G45" i="3"/>
  <c r="F19" i="12" s="1"/>
  <c r="H46" i="3"/>
  <c r="I46" i="3"/>
  <c r="H18" i="3"/>
  <c r="I18" i="3"/>
  <c r="H30" i="3"/>
  <c r="I30" i="3"/>
  <c r="G33" i="3"/>
  <c r="H34" i="3"/>
  <c r="I34" i="3"/>
  <c r="G49" i="3"/>
  <c r="H50" i="3"/>
  <c r="G17" i="3"/>
  <c r="F18" i="12" l="1"/>
  <c r="G13" i="3"/>
  <c r="H19" i="12"/>
  <c r="G19" i="12"/>
  <c r="G13" i="12"/>
  <c r="H13" i="12"/>
  <c r="H14" i="12"/>
  <c r="G14" i="12"/>
  <c r="H18" i="12"/>
  <c r="G18" i="12"/>
  <c r="F11" i="12"/>
  <c r="H40" i="3"/>
  <c r="H33" i="3"/>
  <c r="I33" i="3"/>
  <c r="I37" i="3"/>
  <c r="H37" i="3"/>
  <c r="H45" i="3"/>
  <c r="I45" i="3"/>
  <c r="G36" i="3"/>
  <c r="H49" i="3"/>
  <c r="H26" i="3"/>
  <c r="I26" i="3"/>
  <c r="H17" i="3"/>
  <c r="I17" i="3"/>
  <c r="H41" i="3"/>
  <c r="I41" i="3"/>
  <c r="G197" i="7"/>
  <c r="F229" i="7"/>
  <c r="E229" i="7"/>
  <c r="G252" i="7"/>
  <c r="G222" i="7"/>
  <c r="G207" i="7"/>
  <c r="G242" i="7"/>
  <c r="G158" i="7"/>
  <c r="G130" i="7"/>
  <c r="G80" i="7"/>
  <c r="G74" i="7"/>
  <c r="G48" i="7"/>
  <c r="G13" i="7"/>
  <c r="G310" i="7"/>
  <c r="E327" i="7"/>
  <c r="G343" i="7"/>
  <c r="G389" i="7"/>
  <c r="G11" i="12" l="1"/>
  <c r="H36" i="3"/>
  <c r="I13" i="3"/>
  <c r="H13" i="3"/>
  <c r="G327" i="7"/>
  <c r="E277" i="7"/>
  <c r="G277" i="7" s="1"/>
  <c r="G278" i="7"/>
  <c r="E273" i="7"/>
  <c r="G273" i="7" s="1"/>
  <c r="G274" i="7"/>
  <c r="E281" i="7"/>
  <c r="G281" i="7" s="1"/>
  <c r="G282" i="7"/>
  <c r="E300" i="7"/>
  <c r="G301" i="7"/>
  <c r="G286" i="7"/>
  <c r="E285" i="7"/>
  <c r="G285" i="7" s="1"/>
  <c r="G272" i="7"/>
  <c r="E271" i="7"/>
  <c r="G271" i="7" s="1"/>
  <c r="E258" i="7"/>
  <c r="G258" i="7" s="1"/>
  <c r="G259" i="7"/>
  <c r="G138" i="7"/>
  <c r="G139" i="7"/>
  <c r="E206" i="7"/>
  <c r="I36" i="3"/>
  <c r="D10" i="5"/>
  <c r="E10" i="5" s="1"/>
  <c r="C11" i="5"/>
  <c r="F11" i="5" s="1"/>
  <c r="C10" i="5" l="1"/>
  <c r="F10" i="5" s="1"/>
  <c r="F341" i="7"/>
  <c r="F337" i="7"/>
  <c r="F336" i="7" s="1"/>
  <c r="F322" i="7"/>
  <c r="F321" i="7" s="1"/>
  <c r="F299" i="7"/>
  <c r="F27" i="12" s="1"/>
  <c r="F228" i="7"/>
  <c r="F38" i="12" s="1"/>
  <c r="F129" i="7"/>
  <c r="F128" i="7" s="1"/>
  <c r="F251" i="7"/>
  <c r="F241" i="7"/>
  <c r="F39" i="12" s="1"/>
  <c r="F180" i="7"/>
  <c r="F31" i="12" s="1"/>
  <c r="F125" i="7"/>
  <c r="F124" i="7" s="1"/>
  <c r="F79" i="7"/>
  <c r="F78" i="7" s="1"/>
  <c r="F76" i="7"/>
  <c r="F75" i="7" s="1"/>
  <c r="F73" i="7"/>
  <c r="F72" i="7" s="1"/>
  <c r="F54" i="7"/>
  <c r="F53" i="7" s="1"/>
  <c r="F47" i="7"/>
  <c r="F46" i="7" s="1"/>
  <c r="F40" i="7"/>
  <c r="F39" i="7" s="1"/>
  <c r="F11" i="7"/>
  <c r="G27" i="12" l="1"/>
  <c r="H27" i="12"/>
  <c r="H39" i="12"/>
  <c r="G39" i="12"/>
  <c r="H38" i="12"/>
  <c r="G38" i="12"/>
  <c r="G31" i="12"/>
  <c r="H31" i="12"/>
  <c r="F26" i="12"/>
  <c r="F127" i="7"/>
  <c r="F71" i="7"/>
  <c r="F326" i="7"/>
  <c r="F38" i="7"/>
  <c r="F320" i="7"/>
  <c r="F298" i="7"/>
  <c r="F52" i="7"/>
  <c r="F45" i="7"/>
  <c r="E251" i="7"/>
  <c r="G251" i="7" s="1"/>
  <c r="E241" i="7"/>
  <c r="G241" i="7" s="1"/>
  <c r="E228" i="7"/>
  <c r="G228" i="7" s="1"/>
  <c r="E205" i="7"/>
  <c r="G205" i="7" s="1"/>
  <c r="E180" i="7"/>
  <c r="G180" i="7" s="1"/>
  <c r="G156" i="7"/>
  <c r="E129" i="7"/>
  <c r="E128" i="7" s="1"/>
  <c r="E125" i="7"/>
  <c r="E124" i="7" s="1"/>
  <c r="G124" i="7" s="1"/>
  <c r="E76" i="7"/>
  <c r="E75" i="7" s="1"/>
  <c r="G75" i="7" s="1"/>
  <c r="E73" i="7"/>
  <c r="E72" i="7" s="1"/>
  <c r="E79" i="7"/>
  <c r="E78" i="7" s="1"/>
  <c r="G78" i="7" s="1"/>
  <c r="E96" i="7"/>
  <c r="E95" i="7" s="1"/>
  <c r="G95" i="7" s="1"/>
  <c r="G117" i="7"/>
  <c r="G107" i="7"/>
  <c r="E12" i="7"/>
  <c r="E40" i="7"/>
  <c r="E38" i="7" s="1"/>
  <c r="E47" i="7"/>
  <c r="E45" i="7" s="1"/>
  <c r="E54" i="7"/>
  <c r="E52" i="7" s="1"/>
  <c r="E298" i="7"/>
  <c r="E322" i="7"/>
  <c r="E321" i="7" s="1"/>
  <c r="G321" i="7" s="1"/>
  <c r="E342" i="7"/>
  <c r="E341" i="7" s="1"/>
  <c r="G341" i="7" s="1"/>
  <c r="E388" i="7"/>
  <c r="E387" i="7" s="1"/>
  <c r="G387" i="7" s="1"/>
  <c r="G26" i="12" l="1"/>
  <c r="H26" i="12"/>
  <c r="F9" i="7"/>
  <c r="E127" i="7"/>
  <c r="G128" i="7"/>
  <c r="G72" i="7"/>
  <c r="E337" i="7"/>
  <c r="E336" i="7" s="1"/>
  <c r="E326" i="7" s="1"/>
  <c r="G338" i="7"/>
  <c r="E293" i="7"/>
  <c r="G293" i="7" s="1"/>
  <c r="G294" i="7"/>
  <c r="F307" i="7"/>
  <c r="F297" i="7" s="1"/>
  <c r="E53" i="7"/>
  <c r="G53" i="7" s="1"/>
  <c r="E105" i="7"/>
  <c r="E71" i="7" s="1"/>
  <c r="E320" i="7"/>
  <c r="E307" i="7"/>
  <c r="E308" i="7"/>
  <c r="G308" i="7" s="1"/>
  <c r="E10" i="7"/>
  <c r="E11" i="7"/>
  <c r="G11" i="7" s="1"/>
  <c r="E386" i="7"/>
  <c r="E299" i="7"/>
  <c r="G299" i="7" s="1"/>
  <c r="E39" i="7"/>
  <c r="G39" i="7" s="1"/>
  <c r="E46" i="7"/>
  <c r="G46" i="7" s="1"/>
  <c r="E374" i="7"/>
  <c r="E373" i="7" s="1"/>
  <c r="G373" i="7" s="1"/>
  <c r="E361" i="7"/>
  <c r="E360" i="7" s="1"/>
  <c r="G360" i="7" s="1"/>
  <c r="E9" i="7" l="1"/>
  <c r="F6" i="7"/>
  <c r="G336" i="7"/>
  <c r="G105" i="7"/>
  <c r="I40" i="3"/>
  <c r="G32" i="3"/>
  <c r="G12" i="3" l="1"/>
  <c r="I10" i="13" s="1"/>
  <c r="I9" i="13" s="1"/>
  <c r="I32" i="3"/>
  <c r="H32" i="3"/>
  <c r="E348" i="7"/>
  <c r="E347" i="7" s="1"/>
  <c r="J9" i="13" l="1"/>
  <c r="I15" i="13"/>
  <c r="I24" i="13" s="1"/>
  <c r="H12" i="3"/>
  <c r="E346" i="7"/>
  <c r="E297" i="7" s="1"/>
  <c r="E6" i="7" s="1"/>
  <c r="G347" i="7"/>
  <c r="G6" i="7" l="1"/>
  <c r="I50" i="3"/>
  <c r="F49" i="3"/>
  <c r="I49" i="3" s="1"/>
  <c r="E12" i="12"/>
  <c r="E11" i="12" s="1"/>
  <c r="H11" i="12" s="1"/>
  <c r="F12" i="3" l="1"/>
  <c r="H12" i="12"/>
  <c r="H10" i="13" l="1"/>
  <c r="H9" i="13" s="1"/>
  <c r="H15" i="13" s="1"/>
  <c r="I12" i="3"/>
  <c r="H24" i="13" l="1"/>
  <c r="K9" i="13"/>
</calcChain>
</file>

<file path=xl/sharedStrings.xml><?xml version="1.0" encoding="utf-8"?>
<sst xmlns="http://schemas.openxmlformats.org/spreadsheetml/2006/main" count="729" uniqueCount="250">
  <si>
    <t>PRIHODI UKUPNO</t>
  </si>
  <si>
    <t>RASHODI UKUPNO</t>
  </si>
  <si>
    <t xml:space="preserve">A. RAČUN PRIHODA I RASHODA </t>
  </si>
  <si>
    <t>Prihodi poslovanja</t>
  </si>
  <si>
    <t>Opći prihodi i primici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</si>
  <si>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</si>
  <si>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</si>
  <si>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</si>
  <si>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</si>
  <si>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</si>
  <si>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</si>
  <si>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</si>
  <si>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</si>
  <si>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</si>
  <si>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Materijalni rashodi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</si>
  <si>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</si>
  <si>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</si>
  <si>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</si>
  <si>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od imovine</t>
  </si>
  <si>
    <t>Prihodi od upravnih i administrativnih pristojbi, pristojbi po posebnim propisima i naknada</t>
  </si>
  <si>
    <t>Kazne, upravne mjere i ostali prihodi</t>
  </si>
  <si>
    <t>Financijski rashodi</t>
  </si>
  <si>
    <t>Naknade građanima i kućanstvima na temelju osiguranja i druge naknade</t>
  </si>
  <si>
    <t>Rashodi za dodatna ulaganja na nefinancijskoj imovini</t>
  </si>
  <si>
    <t xml:space="preserve">Prihodi od prodaje proizvoda i robe te pruženih usluga, prihodi od donacija </t>
  </si>
  <si>
    <t>09 Obrazovanje</t>
  </si>
  <si>
    <t>0912 Osnovno obrazovanje</t>
  </si>
  <si>
    <t>096 Dodatne usluge u obrazovanju</t>
  </si>
  <si>
    <t>Prihodi za posebne namjene</t>
  </si>
  <si>
    <t>Pomoći</t>
  </si>
  <si>
    <t>Vlastiti prihodi</t>
  </si>
  <si>
    <t>Donacije</t>
  </si>
  <si>
    <t>HZZ PRIPRAVNIK</t>
  </si>
  <si>
    <t>EU</t>
  </si>
  <si>
    <t>Aktivnost 1012-01</t>
  </si>
  <si>
    <t xml:space="preserve">Aktivnost 1012-02 </t>
  </si>
  <si>
    <t>Financijski rashodi škola</t>
  </si>
  <si>
    <t xml:space="preserve">Kapitalni projekt 1012-03 </t>
  </si>
  <si>
    <t>Kapitalni projekt 1012-04</t>
  </si>
  <si>
    <t>Aktivnost 1012-09</t>
  </si>
  <si>
    <t>Vlastiti i namjenski prihodi škola - rashodi za zaposlene</t>
  </si>
  <si>
    <t>Aktivnost 1012-10</t>
  </si>
  <si>
    <t>Vlastiti i namjenski prihodi škola - materijalni rashodi</t>
  </si>
  <si>
    <t>Aktivnost 1012-11</t>
  </si>
  <si>
    <t>Vlastiti i namjenski prihodi škola - financijski rashodi</t>
  </si>
  <si>
    <t>Aktivnost 1012-12</t>
  </si>
  <si>
    <t>Vlastiti i namjenski prihodi škola - opremanje škola</t>
  </si>
  <si>
    <t>PROGRAM 1013</t>
  </si>
  <si>
    <t>Izvanstandardni progami u školama</t>
  </si>
  <si>
    <t>Aktivnost 1013-04</t>
  </si>
  <si>
    <t>Aktivnost 1013-06</t>
  </si>
  <si>
    <t>Produženi boravak</t>
  </si>
  <si>
    <t>Aktivnost 1013-07</t>
  </si>
  <si>
    <t>Aktivnost 1013-13</t>
  </si>
  <si>
    <t>Aktivnost 1013-18</t>
  </si>
  <si>
    <t>Centar DaR</t>
  </si>
  <si>
    <t>Izvor financiranja 57</t>
  </si>
  <si>
    <t>Izvor financiranja 11</t>
  </si>
  <si>
    <t>Izvor financiranja 31</t>
  </si>
  <si>
    <t xml:space="preserve">Vlastiti prihodi </t>
  </si>
  <si>
    <t>Izvor financiranja 41</t>
  </si>
  <si>
    <t>Izvor financiranja 6103</t>
  </si>
  <si>
    <t>Vlastiti izvori</t>
  </si>
  <si>
    <t>Vlastiti prihodi - višak</t>
  </si>
  <si>
    <t>VIŠAK KORIŠTEN ZA POKRIĆE RASHODA</t>
  </si>
  <si>
    <t>Prihodi za posebne namjene - višak</t>
  </si>
  <si>
    <t>Pomoći - višak</t>
  </si>
  <si>
    <t>HZZ PRIPRAVNIK - višak</t>
  </si>
  <si>
    <t>Donacije - višak</t>
  </si>
  <si>
    <t>Pomoći MZO rashodi za zaposlene</t>
  </si>
  <si>
    <t>Izvor financiranja 92530</t>
  </si>
  <si>
    <t>Izvor financiranja 5402</t>
  </si>
  <si>
    <t>Financiranje nabave drugih obrazovnih materijala - radne bilježnice</t>
  </si>
  <si>
    <t>Materijalni rashodi - prijevoz</t>
  </si>
  <si>
    <t>31-COP</t>
  </si>
  <si>
    <t>31-MENTORSTVA</t>
  </si>
  <si>
    <t>32-PRIJEVOZ DJELATNIKA COP</t>
  </si>
  <si>
    <t>32-NAKNADA INVALIDI</t>
  </si>
  <si>
    <t>32-ISLAMSKI VJERONAUK</t>
  </si>
  <si>
    <t>Prihodi za posebne namjene - školska kuhinja</t>
  </si>
  <si>
    <t>Izvor financiranja 9231</t>
  </si>
  <si>
    <t>Izvor financiranja 9241</t>
  </si>
  <si>
    <t>Izvor financiranja 9257</t>
  </si>
  <si>
    <t>Rashodi za zaposlene (dar u naravi, pripravnica razlika za osnovicu)</t>
  </si>
  <si>
    <t>Rashodi za zaposlene voditelje ŠSD</t>
  </si>
  <si>
    <t>Izvor financiranja 926103</t>
  </si>
  <si>
    <t>Materijalni rashodi (najam dvorane, uz maraška, ost prih)</t>
  </si>
  <si>
    <t>Naknade građanima i kućanstvima na temelju osiguranja i druge naknade (radne bilježnice)</t>
  </si>
  <si>
    <t xml:space="preserve">Prihodi za posebne namjene </t>
  </si>
  <si>
    <t xml:space="preserve">PROGRAM 1012 </t>
  </si>
  <si>
    <t>Osnovnoškolsko obrazovanje</t>
  </si>
  <si>
    <t>PROJEKTI</t>
  </si>
  <si>
    <t>Ostale tekuće donacije u naravi</t>
  </si>
  <si>
    <t>Indeks</t>
  </si>
  <si>
    <t>4=3/2*100</t>
  </si>
  <si>
    <t>POM PROR KORISNICIMA IZ PRORAČUNA KOJI IM NIJE NADLEŽAN</t>
  </si>
  <si>
    <t>TEK POM PROR KORISNICIMA IZ PRORAČUNA KOJI IM NIJE NADLEŽAN</t>
  </si>
  <si>
    <t>KAPITALNE POM PROR KORISNICIMA IZ PRORAČUNA KOJI IM NIJE NADLEŽAN</t>
  </si>
  <si>
    <t>PRIJENOSI IZMEĐU PROR KORISNIKA ISTOG PRORAČUNA</t>
  </si>
  <si>
    <t>TEKUĆI PRIJENOSI IZMEĐU PROR KORISNIKA ISTOG PRORAČUNA</t>
  </si>
  <si>
    <t>TEKUĆI PRIJENOSI IZMEĐU PROR KORISNIKA ISTOG PRORAČUNA TEMELJEM PRIJENOSA EU SREDSTAVA</t>
  </si>
  <si>
    <t>PRIHODI OD FINANCIJSKE IMOVINE</t>
  </si>
  <si>
    <t>KAMATE NA OROČENA SREDSTVA I DEPOZITE PO VIĐENJU</t>
  </si>
  <si>
    <t>PRIHODI PO POSEBNIM PROPISIMA</t>
  </si>
  <si>
    <t>OSTALI NESPOMENUTI PRIHODI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</si>
  <si>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</si>
  <si>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</si>
  <si>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</si>
  <si>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</si>
  <si>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</si>
  <si>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</si>
  <si>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ZA FINANCIRANJE REDOVNE DJELATNOSTI PRORAČUNSKIH KORISNIKA</t>
  </si>
  <si>
    <t>PRIHODI IZ NADLEŽNOG PRORAČUNA ZA FINANCIRANJE RASHODA POSLOVANJA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</si>
  <si>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</si>
  <si>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</si>
  <si>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</si>
  <si>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</si>
  <si>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</si>
  <si>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</si>
  <si>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</si>
  <si>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</si>
  <si>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</si>
  <si>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</si>
  <si>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</si>
  <si>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TROŠKOVI</t>
  </si>
  <si>
    <t>MATERIJAL I SIROVINE</t>
  </si>
  <si>
    <t>ENERGIJA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</si>
  <si>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</si>
  <si>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</si>
  <si>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</si>
  <si>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</si>
  <si>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</si>
  <si>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</si>
  <si>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</si>
  <si>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</si>
  <si>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</si>
  <si>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</si>
  <si>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</si>
  <si>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</si>
  <si>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</si>
  <si>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NAKNADE TROŠKOVA OSOBAMA IZVAN RADNOG ODNOSA</t>
  </si>
  <si>
    <t>SLUŽBENA, RADNA I ZAŠTITNA ODJEĆA I OBUĆA</t>
  </si>
  <si>
    <t>ZDRAVSTVENE I VETERINARSKE USLUGE</t>
  </si>
  <si>
    <t>NAKNADE ZA RAD PREDSTAVNIČKIH I IZVRŠNIH TIJELA, POVJERENSTAVA I SLIČNO</t>
  </si>
  <si>
    <t>PRISTOJBE I NAKNADE</t>
  </si>
  <si>
    <t>OSTALI FINANCIJSKI RASHODI</t>
  </si>
  <si>
    <t>BANKARSKE USLUGE I USLUGE PLATNOG PROMETA</t>
  </si>
  <si>
    <t>ZATEZNE KAMATE</t>
  </si>
  <si>
    <t>OSTALE NAKNADE GRAĐANIMA I KUĆANSTVIMA IZ PRORAČUNA</t>
  </si>
  <si>
    <t>NAKNADE GRAĐANIMA I KUĆANSTVIMA U NOVCU</t>
  </si>
  <si>
    <t>NAKNADE GRAĐANIMA I KUĆANSTVIMA U NARAVI</t>
  </si>
  <si>
    <t>POSTROJENJA I OPREMA</t>
  </si>
  <si>
    <t>UREDSKA OPREMA I NAMJEŠTAJ</t>
  </si>
  <si>
    <t>UREĐAJI, STROJEVI I OPREMA ZA OSTALE NAMJENE</t>
  </si>
  <si>
    <t>OPREMA ZA ODRŽAVANJE I ZAŠTITU</t>
  </si>
  <si>
    <t>KNJIGE, UMJETNIČKA DJELA I OSTALE IZLOŽBENE VRIJEDNOSTI</t>
  </si>
  <si>
    <t>KNJIGE</t>
  </si>
  <si>
    <t>DODATNA ULAGANJA NA GRAĐEVINSKIM OBJEKTIMA</t>
  </si>
  <si>
    <t>Izvor financiranja 53</t>
  </si>
  <si>
    <t>TEKUĆE DONACIJE U NARAVI</t>
  </si>
  <si>
    <t>MATERIJAL I DIJELOVI ZA TEK I INV ODRŽAVANJE</t>
  </si>
  <si>
    <t>SLUŽBENA RADNA I ZAŠTITNA ODJEĆA I OBUĆA</t>
  </si>
  <si>
    <t xml:space="preserve">Rashodi za zaposlene </t>
  </si>
  <si>
    <t>MANJAK POKRIVEN TEKUĆIM PRIHODIMA</t>
  </si>
  <si>
    <t>Pomoći Shema</t>
  </si>
  <si>
    <t>EU Shema</t>
  </si>
  <si>
    <t>KNJIGE MZO lektira</t>
  </si>
  <si>
    <t>KNJIGE MZO udžbenici</t>
  </si>
  <si>
    <t>HZZ</t>
  </si>
  <si>
    <t>MAT I DIJELOVI ZA TEK I INV ODRŽAVANJE</t>
  </si>
  <si>
    <t>POMOĆI OD IZVANPRORAČUNSKIH KORISNIKA</t>
  </si>
  <si>
    <t>TEKUĆE POMOĆI OD IZVANPRORAČUNSKIH KORISNIKA</t>
  </si>
  <si>
    <t>PRIHODI IZ NADLEŽNOG PRORAČUNA ZA FINANCIRANJE RASHODA ZA NABAVU NEFINANCIJSKE IMOVINE</t>
  </si>
  <si>
    <t>PRIHODI POSLOVANJA  PREMA IZVORIMA FINANCIRANJA</t>
  </si>
  <si>
    <t>11 Opći prihodi i primici</t>
  </si>
  <si>
    <t>31 Vlastiti prihodi</t>
  </si>
  <si>
    <t>41 Prihodi za posebne namjene</t>
  </si>
  <si>
    <t>5402 EU</t>
  </si>
  <si>
    <t>57 Pomoći</t>
  </si>
  <si>
    <t>6103 Donacije</t>
  </si>
  <si>
    <t>RASHODI POSLOVANJA  PREMA IZVORIMA FINANCIRANJA</t>
  </si>
  <si>
    <t>9231 Vlastiti prihodi - višak</t>
  </si>
  <si>
    <t>9241 Prihodi za posebne namjene - višak</t>
  </si>
  <si>
    <t>92530 HZZ PRIPRAVNIK - višak</t>
  </si>
  <si>
    <t>926103 Donacije - višak</t>
  </si>
  <si>
    <t>53 HZZ</t>
  </si>
  <si>
    <t>9257 Pomoći - višak</t>
  </si>
  <si>
    <t>SAŽETAK  RAČUNA PRIHODA I RASHODA I  RAČUNA FINANCIRANJA</t>
  </si>
  <si>
    <t>SAŽETAK  RAČUNA PRIHODA I RASHODA</t>
  </si>
  <si>
    <t>INDEKS</t>
  </si>
  <si>
    <t>INDEKS**</t>
  </si>
  <si>
    <t>6 PRIHODI POSLOVANJA</t>
  </si>
  <si>
    <t>7 PRIHODI OD PRODAJE NEFINANCIJSKE IMOVINE</t>
  </si>
  <si>
    <t>3 RASHODI  POSLOVANJA</t>
  </si>
  <si>
    <t>4 RASHODI ZA NABAVU NEFINANCIJSKE IMOVINE</t>
  </si>
  <si>
    <t>RAZLIKA - VIŠAK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</si>
  <si>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</si>
  <si>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</si>
  <si>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</si>
  <si>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</si>
  <si>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</si>
  <si>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</si>
  <si>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</si>
  <si>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</si>
  <si>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</si>
  <si>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</si>
  <si>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</si>
  <si>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5=4/2*100</t>
  </si>
  <si>
    <t>6=4/3*100</t>
  </si>
  <si>
    <t>IZVJEŠTAJ O PRIHODIMA I RASHODIMA PREMA IZVORIMA FINANCIRANJA</t>
  </si>
  <si>
    <t xml:space="preserve">RAČUN PRIHODA I RASHODA </t>
  </si>
  <si>
    <t>IZVJEŠTAJ O PRIHODIMA I RASHODIMA PREMA EKONOMSKOJ KLASIFIKACIJI</t>
  </si>
  <si>
    <t>UKUPNO PRIHODI</t>
  </si>
  <si>
    <t xml:space="preserve"> UKUPNO RASHODI (3+4)</t>
  </si>
  <si>
    <t>IZVJEŠTAJ PO PROGRAMSKOJ KLASIFIKACIJI</t>
  </si>
  <si>
    <t>OSTALI PRIHODI</t>
  </si>
  <si>
    <t>NAKNADE ZA RAD PREDSTAVNIČKIH I IZVRŠNIH TIJELA</t>
  </si>
  <si>
    <t>UKUPNI PRIHODI</t>
  </si>
  <si>
    <t>Pomoćnici u nastavi - Škola puna mogućnosti 7</t>
  </si>
  <si>
    <t>Prehrana učenika u osnovnim školama: Šk. Shema</t>
  </si>
  <si>
    <t xml:space="preserve">Manjak prihoda poslovanja </t>
  </si>
  <si>
    <t xml:space="preserve">Višak prihoda poslovanja </t>
  </si>
  <si>
    <t>POM OD MEĐUNARODNIH ORGANIZACIJA TE INSTITUCIJA I TIJELA EU</t>
  </si>
  <si>
    <t>TEK POM OD MEĐUNARODNIH ORGANIZACIJA</t>
  </si>
  <si>
    <t>KAPITALNE POM OD MEĐUNARODNIH ORGANIZACIJA</t>
  </si>
  <si>
    <t>INSTRUMENTI, UREĐAJI I STROJEVI</t>
  </si>
  <si>
    <t>SPORTSKA I GLAZBENA OPREMA</t>
  </si>
  <si>
    <t>DODATNA ULAGANJA NA POSTROJENJIMA I OPREMI</t>
  </si>
  <si>
    <t>Projekt SHORE</t>
  </si>
  <si>
    <t>925402 Projekti - višak</t>
  </si>
  <si>
    <t>Izvor financiranja 925402</t>
  </si>
  <si>
    <t>POLUGODIŠNJI IZVJEŠTAJ O IZVRŠENJU FINANCIJSKOG PLANA ZA 2025. GODINU</t>
  </si>
  <si>
    <t>IZVORNI PLAN 2025.</t>
  </si>
  <si>
    <t>IZVRŠENJE 06 2024</t>
  </si>
  <si>
    <t>IZVRŠENJE 06 2025.</t>
  </si>
  <si>
    <t>IZVRŠENJE 
06 2024.</t>
  </si>
  <si>
    <t xml:space="preserve"> Materijalni rashodi škola - STANDARD</t>
  </si>
  <si>
    <t>Financijski rashodi škola - STANDARD</t>
  </si>
  <si>
    <t>Izvor financiranja 51</t>
  </si>
  <si>
    <t>Rashodi za zaposlene i materijalni rashodi škola - IZVANSTANDARD</t>
  </si>
  <si>
    <t>Kapitalni projekt 1012-08</t>
  </si>
  <si>
    <t>Aktivnost 1013-23</t>
  </si>
  <si>
    <t>Opremanje škola - STANDARD</t>
  </si>
  <si>
    <t>Rashodi za dodatna ulaganja na školama - STANDARD</t>
  </si>
  <si>
    <t xml:space="preserve">Aktivnost 1012-05 </t>
  </si>
  <si>
    <t>Rashodi za dodatna ulaganja na školama - IZVANSTANDARD</t>
  </si>
  <si>
    <t>Projekti - višak SHORE</t>
  </si>
  <si>
    <t>51 Pomoći</t>
  </si>
  <si>
    <t xml:space="preserve">Izvanškolske aktivnosti </t>
  </si>
  <si>
    <t>EU Projekti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</si>
</sst>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i/>
      <sz val="10"/>
      <color theme="8" tint="-0.249977111117893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theme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b/>
      <sz val="12"/>
      <color rgb="FF002060"/>
      <name val="Calibri"/>
      <family val="2"/>
      <scheme val="minor"/>
    </font>
    <font>
      <b/>
      <sz val="10"/>
      <color theme="1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10"/>
      <color theme="4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2"/>
      <color theme="4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8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9" fillId="0" borderId="0"/>
  </cellStyleXfs>
  <cellXfs count="286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0" fontId="9" fillId="5" borderId="3" xfId="0" applyNumberFormat="1" applyFont="1" applyFill="1" applyBorder="1" applyAlignment="1" applyProtection="1">
      <alignment vertical="center" wrapText="1"/>
    </xf>
    <xf numFmtId="0" fontId="9" fillId="0" borderId="3" xfId="0" quotePrefix="1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 applyProtection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11" fillId="7" borderId="3" xfId="0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 applyProtection="1">
      <alignment horizontal="left" vertical="center"/>
    </xf>
    <xf numFmtId="0" fontId="11" fillId="7" borderId="3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horizontal="right" vertical="center" wrapText="1"/>
    </xf>
    <xf numFmtId="0" fontId="11" fillId="8" borderId="3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 applyProtection="1">
      <alignment horizontal="right" wrapText="1"/>
    </xf>
    <xf numFmtId="4" fontId="3" fillId="5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3" fillId="8" borderId="3" xfId="0" applyNumberFormat="1" applyFont="1" applyFill="1" applyBorder="1" applyAlignment="1">
      <alignment horizontal="right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4" fontId="5" fillId="6" borderId="3" xfId="0" applyNumberFormat="1" applyFont="1" applyFill="1" applyBorder="1" applyAlignment="1">
      <alignment horizontal="right"/>
    </xf>
    <xf numFmtId="4" fontId="5" fillId="9" borderId="3" xfId="0" applyNumberFormat="1" applyFont="1" applyFill="1" applyBorder="1" applyAlignment="1">
      <alignment horizontal="right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4" fontId="16" fillId="2" borderId="3" xfId="0" applyNumberFormat="1" applyFont="1" applyFill="1" applyBorder="1" applyAlignment="1">
      <alignment horizontal="right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17" fillId="2" borderId="3" xfId="0" applyNumberFormat="1" applyFon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2" borderId="4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6" fillId="2" borderId="3" xfId="0" applyNumberFormat="1" applyFont="1" applyFill="1" applyBorder="1" applyAlignment="1" applyProtection="1">
      <alignment horizontal="right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164" fontId="15" fillId="2" borderId="3" xfId="0" applyNumberFormat="1" applyFont="1" applyFill="1" applyBorder="1" applyAlignment="1">
      <alignment horizontal="right"/>
    </xf>
    <xf numFmtId="164" fontId="22" fillId="2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Fill="1" applyBorder="1" applyAlignment="1">
      <alignment horizontal="right"/>
    </xf>
    <xf numFmtId="4" fontId="12" fillId="0" borderId="3" xfId="0" applyNumberFormat="1" applyFont="1" applyFill="1" applyBorder="1" applyAlignment="1">
      <alignment horizontal="right"/>
    </xf>
    <xf numFmtId="4" fontId="23" fillId="0" borderId="3" xfId="0" applyNumberFormat="1" applyFont="1" applyFill="1" applyBorder="1" applyAlignment="1" applyProtection="1">
      <alignment horizontal="right"/>
      <protection locked="0"/>
    </xf>
    <xf numFmtId="4" fontId="5" fillId="6" borderId="3" xfId="0" applyNumberFormat="1" applyFont="1" applyFill="1" applyBorder="1" applyAlignment="1" applyProtection="1">
      <alignment horizontal="right"/>
      <protection locked="0"/>
    </xf>
    <xf numFmtId="4" fontId="23" fillId="2" borderId="3" xfId="0" applyNumberFormat="1" applyFont="1" applyFill="1" applyBorder="1" applyAlignment="1">
      <alignment horizontal="right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27" fillId="2" borderId="0" xfId="2" applyFont="1" applyFill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28" fillId="4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29" fillId="4" borderId="3" xfId="0" applyNumberFormat="1" applyFont="1" applyFill="1" applyBorder="1" applyAlignment="1" applyProtection="1">
      <alignment horizontal="center" vertical="center" wrapText="1"/>
    </xf>
    <xf numFmtId="0" fontId="30" fillId="0" borderId="0" xfId="0" applyFont="1"/>
    <xf numFmtId="0" fontId="31" fillId="2" borderId="3" xfId="0" quotePrefix="1" applyFont="1" applyFill="1" applyBorder="1" applyAlignment="1">
      <alignment horizontal="left" vertical="center"/>
    </xf>
    <xf numFmtId="4" fontId="31" fillId="2" borderId="3" xfId="0" applyNumberFormat="1" applyFont="1" applyFill="1" applyBorder="1" applyAlignment="1">
      <alignment horizontal="right"/>
    </xf>
    <xf numFmtId="0" fontId="32" fillId="0" borderId="0" xfId="0" applyFont="1"/>
    <xf numFmtId="0" fontId="33" fillId="2" borderId="3" xfId="0" quotePrefix="1" applyFont="1" applyFill="1" applyBorder="1" applyAlignment="1">
      <alignment horizontal="left" vertical="center"/>
    </xf>
    <xf numFmtId="4" fontId="33" fillId="2" borderId="3" xfId="0" applyNumberFormat="1" applyFont="1" applyFill="1" applyBorder="1" applyAlignment="1">
      <alignment horizontal="right"/>
    </xf>
    <xf numFmtId="0" fontId="25" fillId="0" borderId="0" xfId="0" applyFont="1"/>
    <xf numFmtId="4" fontId="6" fillId="2" borderId="3" xfId="0" applyNumberFormat="1" applyFont="1" applyFill="1" applyBorder="1" applyAlignment="1">
      <alignment horizontal="right"/>
    </xf>
    <xf numFmtId="4" fontId="33" fillId="0" borderId="3" xfId="0" applyNumberFormat="1" applyFont="1" applyFill="1" applyBorder="1" applyAlignment="1">
      <alignment horizontal="right"/>
    </xf>
    <xf numFmtId="0" fontId="33" fillId="2" borderId="3" xfId="0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 wrapText="1"/>
    </xf>
    <xf numFmtId="0" fontId="34" fillId="2" borderId="3" xfId="0" quotePrefix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 shrinkToFit="1"/>
    </xf>
    <xf numFmtId="4" fontId="22" fillId="2" borderId="3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35" fillId="0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>
      <alignment horizontal="right"/>
    </xf>
    <xf numFmtId="0" fontId="36" fillId="0" borderId="0" xfId="0" applyFont="1"/>
    <xf numFmtId="4" fontId="37" fillId="2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30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4" fontId="21" fillId="0" borderId="0" xfId="0" applyNumberFormat="1" applyFont="1"/>
    <xf numFmtId="4" fontId="36" fillId="0" borderId="0" xfId="0" applyNumberFormat="1" applyFont="1"/>
    <xf numFmtId="4" fontId="38" fillId="2" borderId="3" xfId="0" applyNumberFormat="1" applyFont="1" applyFill="1" applyBorder="1" applyAlignment="1">
      <alignment horizontal="right"/>
    </xf>
    <xf numFmtId="4" fontId="39" fillId="0" borderId="0" xfId="0" applyNumberFormat="1" applyFont="1"/>
    <xf numFmtId="0" fontId="3" fillId="4" borderId="4" xfId="0" applyNumberFormat="1" applyFont="1" applyFill="1" applyBorder="1" applyAlignment="1" applyProtection="1">
      <alignment horizontal="center" vertical="center" wrapText="1"/>
    </xf>
    <xf numFmtId="4" fontId="40" fillId="2" borderId="3" xfId="0" applyNumberFormat="1" applyFont="1" applyFill="1" applyBorder="1" applyAlignment="1">
      <alignment horizontal="right"/>
    </xf>
    <xf numFmtId="0" fontId="3" fillId="7" borderId="4" xfId="0" applyNumberFormat="1" applyFont="1" applyFill="1" applyBorder="1" applyAlignment="1" applyProtection="1">
      <alignment horizontal="left" vertical="center" wrapText="1"/>
    </xf>
    <xf numFmtId="4" fontId="12" fillId="7" borderId="3" xfId="0" applyNumberFormat="1" applyFont="1" applyFill="1" applyBorder="1" applyAlignment="1">
      <alignment horizontal="right"/>
    </xf>
    <xf numFmtId="4" fontId="17" fillId="7" borderId="3" xfId="0" applyNumberFormat="1" applyFont="1" applyFill="1" applyBorder="1" applyAlignment="1">
      <alignment horizontal="right"/>
    </xf>
    <xf numFmtId="0" fontId="9" fillId="7" borderId="3" xfId="0" applyNumberFormat="1" applyFont="1" applyFill="1" applyBorder="1" applyAlignment="1" applyProtection="1">
      <alignment vertical="center" wrapText="1"/>
    </xf>
    <xf numFmtId="0" fontId="9" fillId="7" borderId="3" xfId="0" quotePrefix="1" applyFont="1" applyFill="1" applyBorder="1" applyAlignment="1">
      <alignment horizontal="left" vertical="center" wrapText="1"/>
    </xf>
    <xf numFmtId="0" fontId="9" fillId="7" borderId="4" xfId="0" quotePrefix="1" applyFont="1" applyFill="1" applyBorder="1" applyAlignment="1">
      <alignment horizontal="left" vertical="center" wrapText="1"/>
    </xf>
    <xf numFmtId="4" fontId="5" fillId="7" borderId="3" xfId="0" applyNumberFormat="1" applyFont="1" applyFill="1" applyBorder="1" applyAlignment="1">
      <alignment horizontal="right"/>
    </xf>
    <xf numFmtId="4" fontId="17" fillId="0" borderId="3" xfId="0" applyNumberFormat="1" applyFont="1" applyFill="1" applyBorder="1" applyAlignment="1">
      <alignment horizontal="right"/>
    </xf>
    <xf numFmtId="0" fontId="33" fillId="2" borderId="0" xfId="0" quotePrefix="1" applyFont="1" applyFill="1" applyBorder="1" applyAlignment="1">
      <alignment horizontal="left" vertical="center"/>
    </xf>
    <xf numFmtId="0" fontId="31" fillId="2" borderId="0" xfId="0" quotePrefix="1" applyFont="1" applyFill="1" applyBorder="1" applyAlignment="1">
      <alignment horizontal="left" vertical="center"/>
    </xf>
    <xf numFmtId="4" fontId="33" fillId="2" borderId="0" xfId="0" applyNumberFormat="1" applyFont="1" applyFill="1" applyBorder="1" applyAlignment="1">
      <alignment horizontal="right"/>
    </xf>
    <xf numFmtId="4" fontId="33" fillId="2" borderId="0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33" fillId="0" borderId="3" xfId="0" applyNumberFormat="1" applyFont="1" applyFill="1" applyBorder="1" applyAlignment="1" applyProtection="1">
      <alignment horizontal="left" vertical="center" wrapText="1"/>
    </xf>
    <xf numFmtId="4" fontId="31" fillId="0" borderId="3" xfId="0" applyNumberFormat="1" applyFont="1" applyFill="1" applyBorder="1" applyAlignment="1">
      <alignment horizontal="right"/>
    </xf>
    <xf numFmtId="0" fontId="41" fillId="2" borderId="3" xfId="0" quotePrefix="1" applyFont="1" applyFill="1" applyBorder="1" applyAlignment="1">
      <alignment horizontal="left" vertical="center"/>
    </xf>
    <xf numFmtId="0" fontId="37" fillId="2" borderId="3" xfId="0" quotePrefix="1" applyFont="1" applyFill="1" applyBorder="1" applyAlignment="1">
      <alignment horizontal="left" vertical="center"/>
    </xf>
    <xf numFmtId="4" fontId="6" fillId="8" borderId="3" xfId="0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Fill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9" fillId="3" borderId="2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40" fillId="0" borderId="3" xfId="0" quotePrefix="1" applyNumberFormat="1" applyFont="1" applyFill="1" applyBorder="1" applyAlignment="1" applyProtection="1">
      <alignment horizontal="center" vertical="center" wrapText="1"/>
    </xf>
    <xf numFmtId="0" fontId="40" fillId="2" borderId="3" xfId="0" applyNumberFormat="1" applyFont="1" applyFill="1" applyBorder="1" applyAlignment="1" applyProtection="1">
      <alignment horizontal="center" vertical="center" wrapText="1"/>
    </xf>
    <xf numFmtId="0" fontId="44" fillId="0" borderId="0" xfId="0" applyFon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0" fillId="3" borderId="0" xfId="0" applyFill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quotePrefix="1" applyNumberFormat="1" applyFont="1" applyFill="1" applyBorder="1" applyAlignment="1" applyProtection="1">
      <alignment horizontal="center" vertical="center" wrapText="1"/>
    </xf>
    <xf numFmtId="0" fontId="40" fillId="4" borderId="3" xfId="0" applyNumberFormat="1" applyFont="1" applyFill="1" applyBorder="1" applyAlignment="1" applyProtection="1">
      <alignment horizontal="center" vertical="center" wrapText="1"/>
    </xf>
    <xf numFmtId="0" fontId="45" fillId="4" borderId="3" xfId="0" applyNumberFormat="1" applyFont="1" applyFill="1" applyBorder="1" applyAlignment="1" applyProtection="1">
      <alignment horizontal="center" vertical="center" wrapText="1"/>
    </xf>
    <xf numFmtId="0" fontId="15" fillId="4" borderId="3" xfId="0" quotePrefix="1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5" fillId="4" borderId="1" xfId="0" applyNumberFormat="1" applyFont="1" applyFill="1" applyBorder="1" applyAlignment="1" applyProtection="1">
      <alignment horizontal="center" vertical="center" wrapText="1"/>
    </xf>
    <xf numFmtId="0" fontId="15" fillId="4" borderId="2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" fontId="6" fillId="0" borderId="3" xfId="0" applyNumberFormat="1" applyFont="1" applyFill="1" applyBorder="1" applyAlignment="1">
      <alignment horizontal="center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>
      <alignment horizontal="center"/>
    </xf>
    <xf numFmtId="0" fontId="0" fillId="0" borderId="3" xfId="0" applyFill="1" applyBorder="1"/>
    <xf numFmtId="4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6" fillId="5" borderId="3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5" xfId="0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 applyProtection="1">
      <alignment horizontal="center" wrapText="1"/>
    </xf>
    <xf numFmtId="3" fontId="6" fillId="3" borderId="3" xfId="0" applyNumberFormat="1" applyFont="1" applyFill="1" applyBorder="1" applyAlignment="1" applyProtection="1">
      <alignment horizontal="center" wrapText="1"/>
    </xf>
    <xf numFmtId="0" fontId="3" fillId="2" borderId="0" xfId="0" applyNumberFormat="1" applyFont="1" applyFill="1" applyBorder="1" applyAlignment="1" applyProtection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3" borderId="3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4" fillId="2" borderId="4" xfId="0" quotePrefix="1" applyFont="1" applyFill="1" applyBorder="1" applyAlignment="1">
      <alignment horizontal="left" vertical="center"/>
    </xf>
    <xf numFmtId="4" fontId="10" fillId="2" borderId="3" xfId="0" quotePrefix="1" applyNumberFormat="1" applyFont="1" applyFill="1" applyBorder="1" applyAlignment="1">
      <alignment horizontal="right" vertical="center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4" fillId="2" borderId="4" xfId="0" quotePrefix="1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40" fillId="0" borderId="3" xfId="0" quotePrefix="1" applyFont="1" applyBorder="1" applyAlignment="1">
      <alignment horizontal="center" wrapText="1"/>
    </xf>
    <xf numFmtId="0" fontId="40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43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42" fillId="2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5" fillId="4" borderId="1" xfId="0" applyNumberFormat="1" applyFont="1" applyFill="1" applyBorder="1" applyAlignment="1" applyProtection="1">
      <alignment horizontal="center" vertical="center" wrapText="1"/>
    </xf>
    <xf numFmtId="0" fontId="15" fillId="4" borderId="2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left" vertical="center" shrinkToFit="1"/>
    </xf>
    <xf numFmtId="0" fontId="10" fillId="2" borderId="2" xfId="0" quotePrefix="1" applyFont="1" applyFill="1" applyBorder="1" applyAlignment="1">
      <alignment horizontal="left" vertical="center" shrinkToFit="1"/>
    </xf>
    <xf numFmtId="0" fontId="10" fillId="2" borderId="4" xfId="0" quotePrefix="1" applyFont="1" applyFill="1" applyBorder="1" applyAlignment="1">
      <alignment horizontal="left" vertical="center" shrinkToFit="1"/>
    </xf>
    <xf numFmtId="0" fontId="11" fillId="7" borderId="1" xfId="0" applyNumberFormat="1" applyFont="1" applyFill="1" applyBorder="1" applyAlignment="1" applyProtection="1">
      <alignment horizontal="center" vertical="center" wrapText="1"/>
    </xf>
    <xf numFmtId="0" fontId="11" fillId="7" borderId="2" xfId="0" applyNumberFormat="1" applyFont="1" applyFill="1" applyBorder="1" applyAlignment="1" applyProtection="1">
      <alignment horizontal="center" vertical="center" wrapText="1"/>
    </xf>
    <xf numFmtId="0" fontId="11" fillId="7" borderId="4" xfId="0" applyNumberFormat="1" applyFont="1" applyFill="1" applyBorder="1" applyAlignment="1" applyProtection="1">
      <alignment horizontal="center" vertical="center" wrapText="1"/>
    </xf>
    <xf numFmtId="0" fontId="11" fillId="8" borderId="1" xfId="0" applyNumberFormat="1" applyFont="1" applyFill="1" applyBorder="1" applyAlignment="1" applyProtection="1">
      <alignment horizontal="center" vertical="center" wrapText="1"/>
    </xf>
    <xf numFmtId="0" fontId="11" fillId="8" borderId="2" xfId="0" applyNumberFormat="1" applyFont="1" applyFill="1" applyBorder="1" applyAlignment="1" applyProtection="1">
      <alignment horizontal="center" vertical="center" wrapText="1"/>
    </xf>
    <xf numFmtId="0" fontId="11" fillId="8" borderId="4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 indent="1"/>
    </xf>
    <xf numFmtId="0" fontId="3" fillId="7" borderId="2" xfId="0" applyNumberFormat="1" applyFont="1" applyFill="1" applyBorder="1" applyAlignment="1" applyProtection="1">
      <alignment horizontal="left" vertical="center" wrapText="1" indent="1"/>
    </xf>
    <xf numFmtId="0" fontId="3" fillId="7" borderId="4" xfId="0" applyNumberFormat="1" applyFont="1" applyFill="1" applyBorder="1" applyAlignment="1" applyProtection="1">
      <alignment horizontal="left" vertical="center" wrapText="1" inden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Alignment="1">
      <alignment horizontal="center" wrapText="1"/>
    </xf>
    <xf numFmtId="0" fontId="6" fillId="7" borderId="1" xfId="0" applyNumberFormat="1" applyFont="1" applyFill="1" applyBorder="1" applyAlignment="1" applyProtection="1">
      <alignment horizontal="left" vertical="center" wrapText="1" indent="1"/>
    </xf>
    <xf numFmtId="0" fontId="6" fillId="7" borderId="2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 inden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29" fillId="4" borderId="1" xfId="0" applyNumberFormat="1" applyFont="1" applyFill="1" applyBorder="1" applyAlignment="1" applyProtection="1">
      <alignment horizontal="center" vertical="center" wrapText="1"/>
    </xf>
    <xf numFmtId="0" fontId="29" fillId="4" borderId="2" xfId="0" applyNumberFormat="1" applyFont="1" applyFill="1" applyBorder="1" applyAlignment="1" applyProtection="1">
      <alignment horizontal="center" vertical="center" wrapText="1"/>
    </xf>
    <xf numFmtId="0" fontId="29" fillId="4" borderId="4" xfId="0" applyNumberFormat="1" applyFont="1" applyFill="1" applyBorder="1" applyAlignment="1" applyProtection="1">
      <alignment horizontal="center" vertical="center" wrapText="1"/>
    </xf>
  </cellXfs>
  <cellStyles count="9">
    <cellStyle name="Normal" xfId="0" builtinId="0"/>
    <cellStyle name="Normal 2" xfId="8"/>
    <cellStyle name="Normalno 2" xfId="2"/>
    <cellStyle name="Normalno 2 2" xfId="3"/>
    <cellStyle name="Normalno 3" xfId="4"/>
    <cellStyle name="Normalno 3 2" xfId="1"/>
    <cellStyle name="Normalno 3 3" xfId="5"/>
    <cellStyle name="Normalno 4" xfId="6"/>
    <cellStyle name="Obično_List1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3"/>
  <sheetViews>
    <sheetView tabSelected="1" zoomScale="130" zoomScaleNormal="130" workbookViewId="0">
      <selection activeCell="N16" sqref="N16"/>
    </sheetView>
  </sheetViews>
  <sheetFormatPr defaultRowHeight="15" x14ac:dyDescent="0.25"/>
  <cols>
    <col min="6" max="6" width="16.85546875" customWidth="1"/>
    <col min="7" max="7" width="18" customWidth="1"/>
    <col min="8" max="8" width="19" customWidth="1"/>
    <col min="9" max="9" width="19.28515625" customWidth="1"/>
    <col min="10" max="10" width="12" style="103" customWidth="1"/>
    <col min="11" max="11" width="11.5703125" style="103" customWidth="1"/>
  </cols>
  <sheetData>
    <row r="1" spans="2:11" ht="42" customHeight="1" x14ac:dyDescent="0.25">
      <c r="B1" s="231" t="s">
        <v>231</v>
      </c>
      <c r="C1" s="231"/>
      <c r="D1" s="231"/>
      <c r="E1" s="231"/>
      <c r="F1" s="231"/>
      <c r="G1" s="231"/>
      <c r="H1" s="231"/>
      <c r="I1" s="231"/>
      <c r="J1" s="231"/>
      <c r="K1" s="231"/>
    </row>
    <row r="2" spans="2:11" ht="15.75" customHeight="1" x14ac:dyDescent="0.25">
      <c r="B2" s="231" t="s">
        <v>13</v>
      </c>
      <c r="C2" s="231"/>
      <c r="D2" s="231"/>
      <c r="E2" s="231"/>
      <c r="F2" s="231"/>
      <c r="G2" s="231"/>
      <c r="H2" s="231"/>
      <c r="I2" s="231"/>
      <c r="J2" s="231"/>
      <c r="K2" s="231"/>
    </row>
    <row r="3" spans="2:11" ht="6.75" customHeight="1" x14ac:dyDescent="0.25">
      <c r="B3" s="232"/>
      <c r="C3" s="232"/>
      <c r="D3" s="232"/>
      <c r="E3" s="146"/>
      <c r="F3" s="146"/>
      <c r="G3" s="146"/>
      <c r="H3" s="146"/>
      <c r="I3" s="147"/>
      <c r="J3" s="182"/>
      <c r="K3" s="183"/>
    </row>
    <row r="4" spans="2:11" ht="18" customHeight="1" x14ac:dyDescent="0.25">
      <c r="B4" s="231" t="s">
        <v>187</v>
      </c>
      <c r="C4" s="231"/>
      <c r="D4" s="231"/>
      <c r="E4" s="231"/>
      <c r="F4" s="231"/>
      <c r="G4" s="231"/>
      <c r="H4" s="231"/>
      <c r="I4" s="231"/>
      <c r="J4" s="231"/>
      <c r="K4" s="231"/>
    </row>
    <row r="5" spans="2:11" ht="18" customHeight="1" x14ac:dyDescent="0.25">
      <c r="B5" s="148"/>
      <c r="C5" s="149"/>
      <c r="D5" s="149"/>
      <c r="E5" s="149"/>
      <c r="F5" s="149"/>
      <c r="G5" s="149"/>
      <c r="H5" s="149"/>
      <c r="I5" s="149"/>
      <c r="J5" s="184"/>
      <c r="K5" s="183"/>
    </row>
    <row r="6" spans="2:11" x14ac:dyDescent="0.25">
      <c r="B6" s="225" t="s">
        <v>188</v>
      </c>
      <c r="C6" s="225"/>
      <c r="D6" s="225"/>
      <c r="E6" s="225"/>
      <c r="F6" s="225"/>
      <c r="G6" s="150"/>
      <c r="H6" s="150"/>
      <c r="I6" s="150"/>
      <c r="J6" s="185"/>
      <c r="K6" s="183"/>
    </row>
    <row r="7" spans="2:11" ht="25.5" x14ac:dyDescent="0.25">
      <c r="B7" s="226" t="s">
        <v>10</v>
      </c>
      <c r="C7" s="227"/>
      <c r="D7" s="227"/>
      <c r="E7" s="227"/>
      <c r="F7" s="228"/>
      <c r="G7" s="151" t="s">
        <v>233</v>
      </c>
      <c r="H7" s="1" t="s">
        <v>232</v>
      </c>
      <c r="I7" s="151" t="s">
        <v>234</v>
      </c>
      <c r="J7" s="1" t="s">
        <v>189</v>
      </c>
      <c r="K7" s="1" t="s">
        <v>190</v>
      </c>
    </row>
    <row r="8" spans="2:11" s="154" customFormat="1" ht="11.25" x14ac:dyDescent="0.2">
      <c r="B8" s="217">
        <v>1</v>
      </c>
      <c r="C8" s="217"/>
      <c r="D8" s="217"/>
      <c r="E8" s="217"/>
      <c r="F8" s="218"/>
      <c r="G8" s="152">
        <v>2</v>
      </c>
      <c r="H8" s="153">
        <v>3</v>
      </c>
      <c r="I8" s="153">
        <v>4</v>
      </c>
      <c r="J8" s="153" t="s">
        <v>207</v>
      </c>
      <c r="K8" s="153" t="s">
        <v>208</v>
      </c>
    </row>
    <row r="9" spans="2:11" x14ac:dyDescent="0.25">
      <c r="B9" s="219" t="s">
        <v>0</v>
      </c>
      <c r="C9" s="213"/>
      <c r="D9" s="213"/>
      <c r="E9" s="213"/>
      <c r="F9" s="220"/>
      <c r="G9" s="61">
        <f>G10+G11</f>
        <v>1982517.61</v>
      </c>
      <c r="H9" s="61">
        <f t="shared" ref="H9:I9" si="0">H10+H11</f>
        <v>2765356.57</v>
      </c>
      <c r="I9" s="61">
        <f t="shared" si="0"/>
        <v>2183820.58</v>
      </c>
      <c r="J9" s="186">
        <f>(I9/G9)*100</f>
        <v>110.15390577035025</v>
      </c>
      <c r="K9" s="186">
        <f>(I9/H9)*100</f>
        <v>78.970668871103314</v>
      </c>
    </row>
    <row r="10" spans="2:11" x14ac:dyDescent="0.25">
      <c r="B10" s="215" t="s">
        <v>191</v>
      </c>
      <c r="C10" s="216"/>
      <c r="D10" s="216"/>
      <c r="E10" s="216"/>
      <c r="F10" s="221"/>
      <c r="G10" s="62">
        <f>' Račun prihoda i rashoda'!E12</f>
        <v>1982517.61</v>
      </c>
      <c r="H10" s="62">
        <f>' Račun prihoda i rashoda'!F12</f>
        <v>2765356.57</v>
      </c>
      <c r="I10" s="62">
        <f>' Račun prihoda i rashoda'!G12</f>
        <v>2183820.58</v>
      </c>
      <c r="J10" s="187"/>
      <c r="K10" s="187"/>
    </row>
    <row r="11" spans="2:11" x14ac:dyDescent="0.25">
      <c r="B11" s="222" t="s">
        <v>192</v>
      </c>
      <c r="C11" s="221"/>
      <c r="D11" s="221"/>
      <c r="E11" s="221"/>
      <c r="F11" s="221"/>
      <c r="G11" s="62"/>
      <c r="H11" s="62"/>
      <c r="I11" s="62"/>
      <c r="J11" s="187"/>
      <c r="K11" s="187"/>
    </row>
    <row r="12" spans="2:11" x14ac:dyDescent="0.25">
      <c r="B12" s="17" t="s">
        <v>1</v>
      </c>
      <c r="C12" s="145"/>
      <c r="D12" s="145"/>
      <c r="E12" s="145"/>
      <c r="F12" s="145"/>
      <c r="G12" s="61">
        <f>G13+G14</f>
        <v>1974974.12</v>
      </c>
      <c r="H12" s="61">
        <f t="shared" ref="H12:I12" si="1">H13+H14</f>
        <v>2740261.58</v>
      </c>
      <c r="I12" s="61">
        <f t="shared" si="1"/>
        <v>2437435.1899999995</v>
      </c>
      <c r="J12" s="186">
        <f>(I12/G12)*100</f>
        <v>123.41605721901811</v>
      </c>
      <c r="K12" s="186">
        <f>(I12/H12)*100</f>
        <v>88.948996978602295</v>
      </c>
    </row>
    <row r="13" spans="2:11" x14ac:dyDescent="0.25">
      <c r="B13" s="223" t="s">
        <v>193</v>
      </c>
      <c r="C13" s="216"/>
      <c r="D13" s="216"/>
      <c r="E13" s="216"/>
      <c r="F13" s="216"/>
      <c r="G13" s="62">
        <f>' Račun prihoda i rashoda'!E91</f>
        <v>1974680.57</v>
      </c>
      <c r="H13" s="62">
        <f>' Račun prihoda i rashoda'!F91</f>
        <v>2720169.39</v>
      </c>
      <c r="I13" s="62">
        <f>' Račun prihoda i rashoda'!G91</f>
        <v>2435151.2799999993</v>
      </c>
      <c r="J13" s="188"/>
      <c r="K13" s="188"/>
    </row>
    <row r="14" spans="2:11" x14ac:dyDescent="0.25">
      <c r="B14" s="224" t="s">
        <v>194</v>
      </c>
      <c r="C14" s="221"/>
      <c r="D14" s="221"/>
      <c r="E14" s="221"/>
      <c r="F14" s="221"/>
      <c r="G14" s="63">
        <f>' Račun prihoda i rashoda'!E140</f>
        <v>293.55</v>
      </c>
      <c r="H14" s="63">
        <f>' Račun prihoda i rashoda'!F140</f>
        <v>20092.189999999999</v>
      </c>
      <c r="I14" s="63">
        <f>' Račun prihoda i rashoda'!G140</f>
        <v>2283.91</v>
      </c>
      <c r="J14" s="188"/>
      <c r="K14" s="188"/>
    </row>
    <row r="15" spans="2:11" x14ac:dyDescent="0.25">
      <c r="B15" s="212" t="s">
        <v>195</v>
      </c>
      <c r="C15" s="213"/>
      <c r="D15" s="213"/>
      <c r="E15" s="213"/>
      <c r="F15" s="213"/>
      <c r="G15" s="61">
        <f>G9-G12</f>
        <v>7543.4899999999907</v>
      </c>
      <c r="H15" s="61">
        <f>H9-H12</f>
        <v>25094.989999999758</v>
      </c>
      <c r="I15" s="61">
        <f t="shared" ref="I15" si="2">I9-I12</f>
        <v>-253614.6099999994</v>
      </c>
      <c r="J15" s="189"/>
      <c r="K15" s="189"/>
    </row>
    <row r="16" spans="2:11" ht="18" x14ac:dyDescent="0.25">
      <c r="B16" s="146"/>
      <c r="C16" s="155"/>
      <c r="D16" s="155"/>
      <c r="E16" s="155"/>
      <c r="F16" s="155"/>
      <c r="G16" s="155"/>
      <c r="H16" s="155"/>
      <c r="I16" s="156"/>
      <c r="J16" s="190"/>
      <c r="K16" s="190"/>
    </row>
    <row r="17" spans="1:42" ht="18" customHeight="1" x14ac:dyDescent="0.25">
      <c r="B17" s="225" t="s">
        <v>196</v>
      </c>
      <c r="C17" s="225"/>
      <c r="D17" s="225"/>
      <c r="E17" s="225"/>
      <c r="F17" s="225"/>
      <c r="G17" s="155"/>
      <c r="H17" s="155"/>
      <c r="I17" s="156"/>
      <c r="J17" s="190"/>
      <c r="K17" s="190"/>
    </row>
    <row r="18" spans="1:42" ht="25.5" x14ac:dyDescent="0.25">
      <c r="B18" s="226" t="s">
        <v>10</v>
      </c>
      <c r="C18" s="227"/>
      <c r="D18" s="227"/>
      <c r="E18" s="227"/>
      <c r="F18" s="228"/>
      <c r="G18" s="151" t="s">
        <v>233</v>
      </c>
      <c r="H18" s="1" t="s">
        <v>232</v>
      </c>
      <c r="I18" s="151" t="s">
        <v>234</v>
      </c>
      <c r="J18" s="1" t="s">
        <v>189</v>
      </c>
      <c r="K18" s="1" t="s">
        <v>190</v>
      </c>
    </row>
    <row r="19" spans="1:42" s="154" customFormat="1" x14ac:dyDescent="0.25">
      <c r="B19" s="217">
        <v>1</v>
      </c>
      <c r="C19" s="217"/>
      <c r="D19" s="217"/>
      <c r="E19" s="217"/>
      <c r="F19" s="218"/>
      <c r="G19" s="152">
        <v>2</v>
      </c>
      <c r="H19" s="153">
        <v>3</v>
      </c>
      <c r="I19" s="153">
        <v>4</v>
      </c>
      <c r="J19" s="153" t="s">
        <v>207</v>
      </c>
      <c r="K19" s="153" t="s">
        <v>208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.75" customHeight="1" x14ac:dyDescent="0.25">
      <c r="A20" s="154"/>
      <c r="B20" s="215" t="s">
        <v>197</v>
      </c>
      <c r="C20" s="229"/>
      <c r="D20" s="229"/>
      <c r="E20" s="229"/>
      <c r="F20" s="230"/>
      <c r="G20" s="63">
        <v>0</v>
      </c>
      <c r="H20" s="63">
        <v>0</v>
      </c>
      <c r="I20" s="63">
        <v>0</v>
      </c>
      <c r="J20" s="191"/>
      <c r="K20" s="191"/>
    </row>
    <row r="21" spans="1:42" x14ac:dyDescent="0.25">
      <c r="A21" s="154"/>
      <c r="B21" s="215" t="s">
        <v>198</v>
      </c>
      <c r="C21" s="216"/>
      <c r="D21" s="216"/>
      <c r="E21" s="216"/>
      <c r="F21" s="216"/>
      <c r="G21" s="63">
        <v>0</v>
      </c>
      <c r="H21" s="63">
        <v>0</v>
      </c>
      <c r="I21" s="63">
        <v>0</v>
      </c>
      <c r="J21" s="191"/>
      <c r="K21" s="191"/>
    </row>
    <row r="22" spans="1:42" s="157" customFormat="1" ht="15" customHeight="1" x14ac:dyDescent="0.25">
      <c r="A22" s="154"/>
      <c r="B22" s="209" t="s">
        <v>199</v>
      </c>
      <c r="C22" s="210"/>
      <c r="D22" s="210"/>
      <c r="E22" s="210"/>
      <c r="F22" s="211"/>
      <c r="G22" s="61">
        <f>G20-G21</f>
        <v>0</v>
      </c>
      <c r="H22" s="61">
        <f t="shared" ref="H22:I22" si="3">H20-H21</f>
        <v>0</v>
      </c>
      <c r="I22" s="61">
        <f t="shared" si="3"/>
        <v>0</v>
      </c>
      <c r="J22" s="192"/>
      <c r="K22" s="19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157" customFormat="1" ht="15" customHeight="1" x14ac:dyDescent="0.25">
      <c r="A23" s="154"/>
      <c r="B23" s="209" t="s">
        <v>200</v>
      </c>
      <c r="C23" s="210"/>
      <c r="D23" s="210"/>
      <c r="E23" s="210"/>
      <c r="F23" s="211"/>
      <c r="G23" s="61">
        <v>14145.18</v>
      </c>
      <c r="H23" s="61">
        <v>-25094.99</v>
      </c>
      <c r="I23" s="61">
        <v>-25094.99</v>
      </c>
      <c r="J23" s="192"/>
      <c r="K23" s="192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x14ac:dyDescent="0.25">
      <c r="A24" s="154"/>
      <c r="B24" s="212" t="s">
        <v>201</v>
      </c>
      <c r="C24" s="213"/>
      <c r="D24" s="213"/>
      <c r="E24" s="213"/>
      <c r="F24" s="213"/>
      <c r="G24" s="61">
        <f>G23+G15</f>
        <v>21688.669999999991</v>
      </c>
      <c r="H24" s="61">
        <f t="shared" ref="H24:I24" si="4">H23+H15</f>
        <v>-2.4374458007514477E-10</v>
      </c>
      <c r="I24" s="61">
        <f t="shared" si="4"/>
        <v>-278709.59999999939</v>
      </c>
      <c r="J24" s="192"/>
      <c r="K24" s="192"/>
    </row>
    <row r="25" spans="1:42" ht="15.75" x14ac:dyDescent="0.25">
      <c r="B25" s="158"/>
      <c r="C25" s="159"/>
      <c r="D25" s="159"/>
      <c r="E25" s="159"/>
      <c r="F25" s="159"/>
      <c r="G25" s="160"/>
      <c r="H25" s="160"/>
      <c r="I25" s="160"/>
      <c r="J25" s="193"/>
      <c r="K25" s="183"/>
    </row>
    <row r="26" spans="1:42" ht="15.75" x14ac:dyDescent="0.25">
      <c r="B26" s="214" t="s">
        <v>202</v>
      </c>
      <c r="C26" s="214"/>
      <c r="D26" s="214"/>
      <c r="E26" s="214"/>
      <c r="F26" s="214"/>
      <c r="G26" s="214"/>
      <c r="H26" s="214"/>
      <c r="I26" s="214"/>
      <c r="J26" s="214"/>
      <c r="K26" s="214"/>
    </row>
    <row r="27" spans="1:42" ht="15.75" x14ac:dyDescent="0.25">
      <c r="B27" s="10"/>
      <c r="C27" s="11"/>
      <c r="D27" s="11"/>
      <c r="E27" s="11"/>
      <c r="F27" s="11"/>
      <c r="G27" s="12"/>
      <c r="H27" s="12"/>
      <c r="I27" s="12"/>
      <c r="J27" s="194"/>
    </row>
    <row r="28" spans="1:42" ht="15" customHeight="1" x14ac:dyDescent="0.25">
      <c r="B28" s="207" t="s">
        <v>203</v>
      </c>
      <c r="C28" s="207"/>
      <c r="D28" s="207"/>
      <c r="E28" s="207"/>
      <c r="F28" s="207"/>
      <c r="G28" s="207"/>
      <c r="H28" s="207"/>
      <c r="I28" s="207"/>
      <c r="J28" s="207"/>
      <c r="K28" s="207"/>
    </row>
    <row r="29" spans="1:42" x14ac:dyDescent="0.25">
      <c r="B29" s="207" t="s">
        <v>204</v>
      </c>
      <c r="C29" s="207"/>
      <c r="D29" s="207"/>
      <c r="E29" s="207"/>
      <c r="F29" s="207"/>
      <c r="G29" s="207"/>
      <c r="H29" s="207"/>
      <c r="I29" s="207"/>
      <c r="J29" s="207"/>
      <c r="K29" s="207"/>
    </row>
    <row r="30" spans="1:42" ht="15" customHeight="1" x14ac:dyDescent="0.25">
      <c r="B30" s="207" t="s">
        <v>205</v>
      </c>
      <c r="C30" s="207"/>
      <c r="D30" s="207"/>
      <c r="E30" s="207"/>
      <c r="F30" s="207"/>
      <c r="G30" s="207"/>
      <c r="H30" s="207"/>
      <c r="I30" s="207"/>
      <c r="J30" s="207"/>
      <c r="K30" s="207"/>
    </row>
    <row r="31" spans="1:42" ht="36.75" customHeight="1" x14ac:dyDescent="0.25">
      <c r="B31" s="207"/>
      <c r="C31" s="207"/>
      <c r="D31" s="207"/>
      <c r="E31" s="207"/>
      <c r="F31" s="207"/>
      <c r="G31" s="207"/>
      <c r="H31" s="207"/>
      <c r="I31" s="207"/>
      <c r="J31" s="207"/>
      <c r="K31" s="207"/>
    </row>
    <row r="32" spans="1:42" ht="15" customHeight="1" x14ac:dyDescent="0.25">
      <c r="B32" s="208" t="s">
        <v>206</v>
      </c>
      <c r="C32" s="208"/>
      <c r="D32" s="208"/>
      <c r="E32" s="208"/>
      <c r="F32" s="208"/>
      <c r="G32" s="208"/>
      <c r="H32" s="208"/>
      <c r="I32" s="208"/>
      <c r="J32" s="208"/>
      <c r="K32" s="208"/>
    </row>
    <row r="33" spans="2:11" x14ac:dyDescent="0.25">
      <c r="B33" s="208"/>
      <c r="C33" s="208"/>
      <c r="D33" s="208"/>
      <c r="E33" s="208"/>
      <c r="F33" s="208"/>
      <c r="G33" s="208"/>
      <c r="H33" s="208"/>
      <c r="I33" s="208"/>
      <c r="J33" s="208"/>
      <c r="K33" s="208"/>
    </row>
  </sheetData>
  <mergeCells count="26">
    <mergeCell ref="B7:F7"/>
    <mergeCell ref="B1:K1"/>
    <mergeCell ref="B2:K2"/>
    <mergeCell ref="B3:D3"/>
    <mergeCell ref="B4:K4"/>
    <mergeCell ref="B6:F6"/>
    <mergeCell ref="B21:F21"/>
    <mergeCell ref="B8:F8"/>
    <mergeCell ref="B9:F9"/>
    <mergeCell ref="B10:F10"/>
    <mergeCell ref="B11:F11"/>
    <mergeCell ref="B13:F13"/>
    <mergeCell ref="B14:F14"/>
    <mergeCell ref="B15:F15"/>
    <mergeCell ref="B17:F17"/>
    <mergeCell ref="B18:F18"/>
    <mergeCell ref="B19:F19"/>
    <mergeCell ref="B20:F20"/>
    <mergeCell ref="B30:K31"/>
    <mergeCell ref="B32:K33"/>
    <mergeCell ref="B22:F22"/>
    <mergeCell ref="B23:F23"/>
    <mergeCell ref="B24:F24"/>
    <mergeCell ref="B26:K26"/>
    <mergeCell ref="B28:K28"/>
    <mergeCell ref="B29:K29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4"/>
  <sheetViews>
    <sheetView zoomScale="150" zoomScaleNormal="150"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7109375" bestFit="1" customWidth="1"/>
    <col min="4" max="4" width="34.140625" customWidth="1"/>
    <col min="5" max="5" width="23.5703125" customWidth="1"/>
    <col min="6" max="7" width="23.28515625" customWidth="1"/>
    <col min="8" max="8" width="14.5703125" style="103" customWidth="1"/>
    <col min="9" max="9" width="14.140625" customWidth="1"/>
  </cols>
  <sheetData>
    <row r="1" spans="1:11" ht="42" customHeight="1" x14ac:dyDescent="0.25">
      <c r="A1" s="231" t="s">
        <v>231</v>
      </c>
      <c r="B1" s="231"/>
      <c r="C1" s="231"/>
      <c r="D1" s="231"/>
      <c r="E1" s="231"/>
      <c r="F1" s="231"/>
      <c r="G1" s="231"/>
      <c r="H1" s="231"/>
      <c r="I1" s="231"/>
      <c r="J1" s="206"/>
      <c r="K1" s="77"/>
    </row>
    <row r="2" spans="1:11" ht="18" customHeight="1" x14ac:dyDescent="0.25">
      <c r="A2" s="2"/>
      <c r="B2" s="2"/>
      <c r="C2" s="2"/>
      <c r="D2" s="2"/>
      <c r="E2" s="14"/>
      <c r="F2" s="2"/>
      <c r="G2" s="2"/>
      <c r="H2" s="14"/>
    </row>
    <row r="3" spans="1:11" ht="15.75" x14ac:dyDescent="0.25">
      <c r="A3" s="233" t="s">
        <v>13</v>
      </c>
      <c r="B3" s="233"/>
      <c r="C3" s="233"/>
      <c r="D3" s="233"/>
      <c r="E3" s="233"/>
      <c r="F3" s="233"/>
      <c r="G3" s="234"/>
      <c r="H3" s="234"/>
    </row>
    <row r="4" spans="1:11" ht="18" x14ac:dyDescent="0.25">
      <c r="A4" s="2"/>
      <c r="B4" s="2"/>
      <c r="C4" s="2"/>
      <c r="D4" s="2"/>
      <c r="E4" s="14"/>
      <c r="F4" s="2"/>
      <c r="G4" s="3"/>
      <c r="H4" s="100"/>
    </row>
    <row r="5" spans="1:11" ht="18" customHeight="1" x14ac:dyDescent="0.25">
      <c r="A5" s="233" t="s">
        <v>210</v>
      </c>
      <c r="B5" s="235"/>
      <c r="C5" s="235"/>
      <c r="D5" s="235"/>
      <c r="E5" s="235"/>
      <c r="F5" s="235"/>
      <c r="G5" s="235"/>
      <c r="H5" s="235"/>
    </row>
    <row r="6" spans="1:11" ht="18" x14ac:dyDescent="0.25">
      <c r="A6" s="2"/>
      <c r="B6" s="2"/>
      <c r="C6" s="2"/>
      <c r="D6" s="2"/>
      <c r="E6" s="14"/>
      <c r="F6" s="2"/>
      <c r="G6" s="3"/>
      <c r="H6" s="100"/>
    </row>
    <row r="7" spans="1:11" ht="15.75" x14ac:dyDescent="0.25">
      <c r="A7" s="233" t="s">
        <v>211</v>
      </c>
      <c r="B7" s="236"/>
      <c r="C7" s="236"/>
      <c r="D7" s="236"/>
      <c r="E7" s="236"/>
      <c r="F7" s="236"/>
      <c r="G7" s="236"/>
      <c r="H7" s="236"/>
    </row>
    <row r="8" spans="1:11" ht="18" x14ac:dyDescent="0.25">
      <c r="A8" s="2"/>
      <c r="B8" s="2"/>
      <c r="C8" s="2"/>
      <c r="D8" s="2"/>
      <c r="E8" s="14"/>
      <c r="F8" s="42"/>
      <c r="G8" s="42"/>
      <c r="H8" s="42"/>
      <c r="I8" s="31"/>
    </row>
    <row r="9" spans="1:11" ht="24.75" customHeight="1" x14ac:dyDescent="0.25">
      <c r="A9" s="240" t="s">
        <v>10</v>
      </c>
      <c r="B9" s="241"/>
      <c r="C9" s="241"/>
      <c r="D9" s="242"/>
      <c r="E9" s="162" t="s">
        <v>235</v>
      </c>
      <c r="F9" s="13" t="s">
        <v>232</v>
      </c>
      <c r="G9" s="162" t="s">
        <v>234</v>
      </c>
      <c r="H9" s="13" t="s">
        <v>189</v>
      </c>
      <c r="I9" s="13" t="s">
        <v>190</v>
      </c>
    </row>
    <row r="10" spans="1:11" x14ac:dyDescent="0.25">
      <c r="A10" s="243">
        <v>1</v>
      </c>
      <c r="B10" s="244"/>
      <c r="C10" s="244"/>
      <c r="D10" s="245"/>
      <c r="E10" s="161">
        <v>2</v>
      </c>
      <c r="F10" s="81">
        <v>3</v>
      </c>
      <c r="G10" s="81">
        <v>4</v>
      </c>
      <c r="H10" s="163" t="s">
        <v>207</v>
      </c>
      <c r="I10" s="163" t="s">
        <v>208</v>
      </c>
    </row>
    <row r="11" spans="1:11" x14ac:dyDescent="0.25">
      <c r="A11" s="167"/>
      <c r="B11" s="168"/>
      <c r="C11" s="168"/>
      <c r="D11" s="166" t="s">
        <v>217</v>
      </c>
      <c r="E11" s="169"/>
      <c r="F11" s="81"/>
      <c r="G11" s="81"/>
      <c r="H11" s="163"/>
      <c r="I11" s="163"/>
    </row>
    <row r="12" spans="1:11" ht="15.75" customHeight="1" x14ac:dyDescent="0.25">
      <c r="A12" s="32">
        <v>6</v>
      </c>
      <c r="B12" s="32"/>
      <c r="C12" s="32"/>
      <c r="D12" s="32" t="s">
        <v>3</v>
      </c>
      <c r="E12" s="49">
        <f>E13+E32+E36+E40+E49+E54</f>
        <v>1982517.61</v>
      </c>
      <c r="F12" s="49">
        <f>F13+F32+F36+F40+F49+F54</f>
        <v>2765356.57</v>
      </c>
      <c r="G12" s="49">
        <f>G13+G32+G36+G40+G49+G54</f>
        <v>2183820.58</v>
      </c>
      <c r="H12" s="102">
        <f>(G12/E12)*100</f>
        <v>110.15390577035025</v>
      </c>
      <c r="I12" s="102">
        <f>(G12/F12)*100</f>
        <v>78.970668871103314</v>
      </c>
    </row>
    <row r="13" spans="1:11" ht="25.5" x14ac:dyDescent="0.25">
      <c r="A13" s="19"/>
      <c r="B13" s="20">
        <v>63</v>
      </c>
      <c r="C13" s="20"/>
      <c r="D13" s="20" t="s">
        <v>15</v>
      </c>
      <c r="E13" s="39">
        <f>E17+E26+E14</f>
        <v>1645722.1</v>
      </c>
      <c r="F13" s="39">
        <f>F17+F26+F14+F21</f>
        <v>2378158.1999999997</v>
      </c>
      <c r="G13" s="39">
        <f>G17+G26+G14+G21</f>
        <v>1841898.69</v>
      </c>
      <c r="H13" s="102">
        <f t="shared" ref="H13:H57" si="0">(G13/E13)*100</f>
        <v>111.92039591617564</v>
      </c>
      <c r="I13" s="102">
        <f t="shared" ref="I13:I57" si="1">(G13/F13)*100</f>
        <v>77.450637640506841</v>
      </c>
    </row>
    <row r="14" spans="1:11" x14ac:dyDescent="0.25">
      <c r="A14" s="78"/>
      <c r="B14" s="135"/>
      <c r="C14" s="136">
        <v>53</v>
      </c>
      <c r="D14" s="86" t="s">
        <v>168</v>
      </c>
      <c r="E14" s="137">
        <f>E15</f>
        <v>0</v>
      </c>
      <c r="F14" s="137">
        <f>F15</f>
        <v>0</v>
      </c>
      <c r="G14" s="137">
        <f>G15</f>
        <v>0</v>
      </c>
      <c r="H14" s="102" t="e">
        <f t="shared" si="0"/>
        <v>#DIV/0!</v>
      </c>
      <c r="I14" s="102" t="e">
        <f t="shared" si="1"/>
        <v>#DIV/0!</v>
      </c>
    </row>
    <row r="15" spans="1:11" ht="22.5" x14ac:dyDescent="0.25">
      <c r="A15" s="78"/>
      <c r="B15" s="78">
        <v>634</v>
      </c>
      <c r="C15" s="136"/>
      <c r="D15" s="96" t="s">
        <v>170</v>
      </c>
      <c r="E15" s="40">
        <f>E16</f>
        <v>0</v>
      </c>
      <c r="F15" s="40"/>
      <c r="G15" s="40">
        <f>G16</f>
        <v>0</v>
      </c>
      <c r="H15" s="102" t="e">
        <f t="shared" si="0"/>
        <v>#DIV/0!</v>
      </c>
      <c r="I15" s="102" t="e">
        <f t="shared" si="1"/>
        <v>#DIV/0!</v>
      </c>
    </row>
    <row r="16" spans="1:11" ht="22.5" x14ac:dyDescent="0.25">
      <c r="A16" s="78"/>
      <c r="B16" s="135">
        <v>6341</v>
      </c>
      <c r="C16" s="135"/>
      <c r="D16" s="96" t="s">
        <v>171</v>
      </c>
      <c r="E16" s="40">
        <v>0</v>
      </c>
      <c r="F16" s="40"/>
      <c r="G16" s="40">
        <v>0</v>
      </c>
      <c r="H16" s="102" t="e">
        <f t="shared" si="0"/>
        <v>#DIV/0!</v>
      </c>
      <c r="I16" s="102" t="e">
        <f t="shared" si="1"/>
        <v>#DIV/0!</v>
      </c>
    </row>
    <row r="17" spans="1:9" s="88" customFormat="1" x14ac:dyDescent="0.25">
      <c r="A17" s="86"/>
      <c r="B17" s="86"/>
      <c r="C17" s="86">
        <v>57</v>
      </c>
      <c r="D17" s="86" t="s">
        <v>29</v>
      </c>
      <c r="E17" s="87">
        <f>E18+E24</f>
        <v>1640534.74</v>
      </c>
      <c r="F17" s="87">
        <f>F18</f>
        <v>2291746.7199999997</v>
      </c>
      <c r="G17" s="87">
        <f>G18+G24</f>
        <v>1835314.73</v>
      </c>
      <c r="H17" s="102">
        <f t="shared" si="0"/>
        <v>111.87295735047951</v>
      </c>
      <c r="I17" s="102">
        <f t="shared" si="1"/>
        <v>80.083663433802158</v>
      </c>
    </row>
    <row r="18" spans="1:9" ht="22.5" x14ac:dyDescent="0.25">
      <c r="A18" s="6"/>
      <c r="B18" s="15">
        <v>636</v>
      </c>
      <c r="C18" s="7"/>
      <c r="D18" s="96" t="s">
        <v>95</v>
      </c>
      <c r="E18" s="92">
        <f>E19+E20</f>
        <v>1640534.74</v>
      </c>
      <c r="F18" s="92">
        <f>2272866.17+F69</f>
        <v>2291746.7199999997</v>
      </c>
      <c r="G18" s="92">
        <f>G19+G20</f>
        <v>1835314.73</v>
      </c>
      <c r="H18" s="102">
        <f t="shared" si="0"/>
        <v>111.87295735047951</v>
      </c>
      <c r="I18" s="102">
        <f t="shared" si="1"/>
        <v>80.083663433802158</v>
      </c>
    </row>
    <row r="19" spans="1:9" ht="22.5" x14ac:dyDescent="0.25">
      <c r="A19" s="6"/>
      <c r="B19" s="6">
        <v>6361</v>
      </c>
      <c r="C19" s="7"/>
      <c r="D19" s="96" t="s">
        <v>96</v>
      </c>
      <c r="E19" s="36">
        <v>1640534.74</v>
      </c>
      <c r="F19" s="36"/>
      <c r="G19" s="36">
        <f>1835472.52-157.79</f>
        <v>1835314.73</v>
      </c>
      <c r="H19" s="102">
        <f t="shared" si="0"/>
        <v>111.87295735047951</v>
      </c>
      <c r="I19" s="102" t="e">
        <f t="shared" si="1"/>
        <v>#DIV/0!</v>
      </c>
    </row>
    <row r="20" spans="1:9" ht="22.5" x14ac:dyDescent="0.25">
      <c r="A20" s="6"/>
      <c r="B20" s="6">
        <v>6362</v>
      </c>
      <c r="C20" s="7"/>
      <c r="D20" s="96" t="s">
        <v>97</v>
      </c>
      <c r="E20" s="36">
        <v>0</v>
      </c>
      <c r="F20" s="36"/>
      <c r="G20" s="36">
        <v>0</v>
      </c>
      <c r="H20" s="102" t="e">
        <f t="shared" si="0"/>
        <v>#DIV/0!</v>
      </c>
      <c r="I20" s="102" t="e">
        <f t="shared" si="1"/>
        <v>#DIV/0!</v>
      </c>
    </row>
    <row r="21" spans="1:9" x14ac:dyDescent="0.25">
      <c r="A21" s="6"/>
      <c r="B21" s="6"/>
      <c r="C21" s="86">
        <v>51</v>
      </c>
      <c r="D21" s="86" t="s">
        <v>29</v>
      </c>
      <c r="E21" s="87">
        <f>E22+E24</f>
        <v>0</v>
      </c>
      <c r="F21" s="87">
        <f>F22+F24</f>
        <v>14483.08</v>
      </c>
      <c r="G21" s="87">
        <f t="shared" ref="G21" si="2">G22+G24</f>
        <v>157.79</v>
      </c>
      <c r="H21" s="102"/>
      <c r="I21" s="102"/>
    </row>
    <row r="22" spans="1:9" ht="22.5" x14ac:dyDescent="0.25">
      <c r="A22" s="6"/>
      <c r="B22" s="15">
        <v>636</v>
      </c>
      <c r="C22" s="7"/>
      <c r="D22" s="96" t="s">
        <v>95</v>
      </c>
      <c r="E22" s="92">
        <f>E23</f>
        <v>0</v>
      </c>
      <c r="F22" s="92">
        <f>1125+F67</f>
        <v>1203.08</v>
      </c>
      <c r="G22" s="92">
        <f>G23</f>
        <v>157.79</v>
      </c>
      <c r="H22" s="102" t="e">
        <f t="shared" ref="H22:H23" si="3">(G22/E22)*100</f>
        <v>#DIV/0!</v>
      </c>
      <c r="I22" s="102">
        <f t="shared" ref="I22:I23" si="4">(G22/F22)*100</f>
        <v>13.115503540911661</v>
      </c>
    </row>
    <row r="23" spans="1:9" ht="22.5" x14ac:dyDescent="0.25">
      <c r="A23" s="6"/>
      <c r="B23" s="6">
        <v>6361</v>
      </c>
      <c r="C23" s="7"/>
      <c r="D23" s="96" t="s">
        <v>96</v>
      </c>
      <c r="E23" s="36"/>
      <c r="F23" s="36"/>
      <c r="G23" s="36">
        <v>157.79</v>
      </c>
      <c r="H23" s="102" t="e">
        <f t="shared" si="3"/>
        <v>#DIV/0!</v>
      </c>
      <c r="I23" s="102" t="e">
        <f t="shared" si="4"/>
        <v>#DIV/0!</v>
      </c>
    </row>
    <row r="24" spans="1:9" ht="22.5" x14ac:dyDescent="0.25">
      <c r="A24" s="6"/>
      <c r="B24" s="15">
        <v>639</v>
      </c>
      <c r="C24" s="7"/>
      <c r="D24" s="96" t="s">
        <v>98</v>
      </c>
      <c r="E24" s="92">
        <f>E25</f>
        <v>0</v>
      </c>
      <c r="F24" s="92">
        <f>13280</f>
        <v>13280</v>
      </c>
      <c r="G24" s="92">
        <f>G25</f>
        <v>0</v>
      </c>
      <c r="H24" s="102" t="e">
        <f t="shared" si="0"/>
        <v>#DIV/0!</v>
      </c>
      <c r="I24" s="102">
        <f t="shared" si="1"/>
        <v>0</v>
      </c>
    </row>
    <row r="25" spans="1:9" ht="22.5" x14ac:dyDescent="0.25">
      <c r="A25" s="6"/>
      <c r="B25" s="6">
        <v>6391</v>
      </c>
      <c r="C25" s="7"/>
      <c r="D25" s="96" t="s">
        <v>99</v>
      </c>
      <c r="E25" s="36">
        <v>0</v>
      </c>
      <c r="F25" s="36"/>
      <c r="G25" s="36">
        <v>0</v>
      </c>
      <c r="H25" s="102" t="e">
        <f t="shared" si="0"/>
        <v>#DIV/0!</v>
      </c>
      <c r="I25" s="102" t="e">
        <f t="shared" si="1"/>
        <v>#DIV/0!</v>
      </c>
    </row>
    <row r="26" spans="1:9" s="88" customFormat="1" x14ac:dyDescent="0.25">
      <c r="A26" s="86"/>
      <c r="B26" s="86"/>
      <c r="C26" s="86">
        <v>5402</v>
      </c>
      <c r="D26" s="86" t="s">
        <v>33</v>
      </c>
      <c r="E26" s="87">
        <f>E30+E27</f>
        <v>5187.3599999999997</v>
      </c>
      <c r="F26" s="87">
        <f>F30+F27</f>
        <v>71928.399999999994</v>
      </c>
      <c r="G26" s="87">
        <f t="shared" ref="G26" si="5">G30+G27</f>
        <v>6426.17</v>
      </c>
      <c r="H26" s="102">
        <f t="shared" si="0"/>
        <v>123.88131920668704</v>
      </c>
      <c r="I26" s="102">
        <f t="shared" si="1"/>
        <v>8.9341205977054976</v>
      </c>
    </row>
    <row r="27" spans="1:9" s="88" customFormat="1" ht="22.5" x14ac:dyDescent="0.25">
      <c r="A27" s="86"/>
      <c r="B27" s="15">
        <v>632</v>
      </c>
      <c r="C27" s="86"/>
      <c r="D27" s="96" t="s">
        <v>222</v>
      </c>
      <c r="E27" s="109">
        <f>E28+E29</f>
        <v>0</v>
      </c>
      <c r="F27" s="109">
        <f>1752</f>
        <v>1752</v>
      </c>
      <c r="G27" s="109">
        <f t="shared" ref="G27" si="6">G28+G29</f>
        <v>1708.28</v>
      </c>
      <c r="H27" s="102" t="e">
        <f t="shared" si="0"/>
        <v>#DIV/0!</v>
      </c>
      <c r="I27" s="102">
        <f t="shared" si="1"/>
        <v>97.504566210045667</v>
      </c>
    </row>
    <row r="28" spans="1:9" s="88" customFormat="1" x14ac:dyDescent="0.25">
      <c r="A28" s="86"/>
      <c r="B28" s="6">
        <v>6321</v>
      </c>
      <c r="C28" s="86"/>
      <c r="D28" s="96" t="s">
        <v>223</v>
      </c>
      <c r="E28" s="108"/>
      <c r="F28" s="108"/>
      <c r="G28" s="108">
        <v>1708.28</v>
      </c>
      <c r="H28" s="102" t="e">
        <f t="shared" si="0"/>
        <v>#DIV/0!</v>
      </c>
      <c r="I28" s="102" t="e">
        <f t="shared" si="1"/>
        <v>#DIV/0!</v>
      </c>
    </row>
    <row r="29" spans="1:9" s="88" customFormat="1" ht="22.5" x14ac:dyDescent="0.25">
      <c r="A29" s="86"/>
      <c r="B29" s="6">
        <v>6322</v>
      </c>
      <c r="C29" s="86"/>
      <c r="D29" s="96" t="s">
        <v>224</v>
      </c>
      <c r="E29" s="108"/>
      <c r="F29" s="108"/>
      <c r="G29" s="108"/>
      <c r="H29" s="102" t="e">
        <f t="shared" si="0"/>
        <v>#DIV/0!</v>
      </c>
      <c r="I29" s="102" t="e">
        <f t="shared" si="1"/>
        <v>#DIV/0!</v>
      </c>
    </row>
    <row r="30" spans="1:9" s="83" customFormat="1" ht="22.5" x14ac:dyDescent="0.25">
      <c r="A30" s="6"/>
      <c r="B30" s="15">
        <v>639</v>
      </c>
      <c r="C30" s="6"/>
      <c r="D30" s="96" t="s">
        <v>98</v>
      </c>
      <c r="E30" s="92">
        <f>E31</f>
        <v>5187.3599999999997</v>
      </c>
      <c r="F30" s="92">
        <f>68615+F70</f>
        <v>70176.399999999994</v>
      </c>
      <c r="G30" s="92">
        <f>G31</f>
        <v>4717.8900000000003</v>
      </c>
      <c r="H30" s="102">
        <f t="shared" si="0"/>
        <v>90.949731655408542</v>
      </c>
      <c r="I30" s="102">
        <f t="shared" si="1"/>
        <v>6.7229011462542969</v>
      </c>
    </row>
    <row r="31" spans="1:9" s="83" customFormat="1" ht="33.75" x14ac:dyDescent="0.25">
      <c r="A31" s="6"/>
      <c r="B31" s="6">
        <v>6393</v>
      </c>
      <c r="C31" s="6"/>
      <c r="D31" s="96" t="s">
        <v>100</v>
      </c>
      <c r="E31" s="36">
        <v>5187.3599999999997</v>
      </c>
      <c r="F31" s="36"/>
      <c r="G31" s="36">
        <v>4717.8900000000003</v>
      </c>
      <c r="H31" s="102">
        <f t="shared" si="0"/>
        <v>90.949731655408542</v>
      </c>
      <c r="I31" s="102" t="e">
        <f t="shared" si="1"/>
        <v>#DIV/0!</v>
      </c>
    </row>
    <row r="32" spans="1:9" x14ac:dyDescent="0.25">
      <c r="A32" s="21"/>
      <c r="B32" s="21">
        <v>64</v>
      </c>
      <c r="C32" s="22"/>
      <c r="D32" s="21" t="s">
        <v>18</v>
      </c>
      <c r="E32" s="39">
        <f t="shared" ref="E32:G32" si="7">E33</f>
        <v>0</v>
      </c>
      <c r="F32" s="39">
        <f>F33</f>
        <v>0</v>
      </c>
      <c r="G32" s="39">
        <f t="shared" si="7"/>
        <v>0</v>
      </c>
      <c r="H32" s="102" t="e">
        <f t="shared" si="0"/>
        <v>#DIV/0!</v>
      </c>
      <c r="I32" s="102" t="e">
        <f t="shared" si="1"/>
        <v>#DIV/0!</v>
      </c>
    </row>
    <row r="33" spans="1:9" s="88" customFormat="1" x14ac:dyDescent="0.25">
      <c r="A33" s="86"/>
      <c r="B33" s="86"/>
      <c r="C33" s="86">
        <v>31</v>
      </c>
      <c r="D33" s="86" t="s">
        <v>30</v>
      </c>
      <c r="E33" s="87">
        <f>E34</f>
        <v>0</v>
      </c>
      <c r="F33" s="87">
        <f>F34</f>
        <v>0</v>
      </c>
      <c r="G33" s="87">
        <f>G34</f>
        <v>0</v>
      </c>
      <c r="H33" s="102" t="e">
        <f t="shared" si="0"/>
        <v>#DIV/0!</v>
      </c>
      <c r="I33" s="102" t="e">
        <f t="shared" si="1"/>
        <v>#DIV/0!</v>
      </c>
    </row>
    <row r="34" spans="1:9" x14ac:dyDescent="0.25">
      <c r="A34" s="6"/>
      <c r="B34" s="15">
        <v>641</v>
      </c>
      <c r="C34" s="7"/>
      <c r="D34" s="97" t="s">
        <v>101</v>
      </c>
      <c r="E34" s="92">
        <f>E35</f>
        <v>0</v>
      </c>
      <c r="F34" s="36"/>
      <c r="G34" s="92">
        <f>G35</f>
        <v>0</v>
      </c>
      <c r="H34" s="102" t="e">
        <f t="shared" si="0"/>
        <v>#DIV/0!</v>
      </c>
      <c r="I34" s="102" t="e">
        <f t="shared" si="1"/>
        <v>#DIV/0!</v>
      </c>
    </row>
    <row r="35" spans="1:9" ht="22.5" x14ac:dyDescent="0.25">
      <c r="A35" s="6"/>
      <c r="B35" s="6">
        <v>6413</v>
      </c>
      <c r="C35" s="7"/>
      <c r="D35" s="96" t="s">
        <v>102</v>
      </c>
      <c r="E35" s="36">
        <v>0</v>
      </c>
      <c r="F35" s="36"/>
      <c r="G35" s="36">
        <v>0</v>
      </c>
      <c r="H35" s="102" t="e">
        <f t="shared" si="0"/>
        <v>#DIV/0!</v>
      </c>
      <c r="I35" s="102" t="e">
        <f t="shared" si="1"/>
        <v>#DIV/0!</v>
      </c>
    </row>
    <row r="36" spans="1:9" ht="58.5" customHeight="1" x14ac:dyDescent="0.25">
      <c r="A36" s="21"/>
      <c r="B36" s="21">
        <v>65</v>
      </c>
      <c r="C36" s="22"/>
      <c r="D36" s="23" t="s">
        <v>19</v>
      </c>
      <c r="E36" s="39">
        <f t="shared" ref="E36:G36" si="8">E37</f>
        <v>49869.46</v>
      </c>
      <c r="F36" s="39">
        <f>F37</f>
        <v>91450</v>
      </c>
      <c r="G36" s="39">
        <f t="shared" si="8"/>
        <v>56838.21</v>
      </c>
      <c r="H36" s="102">
        <f t="shared" si="0"/>
        <v>113.97398327553576</v>
      </c>
      <c r="I36" s="102">
        <f t="shared" si="1"/>
        <v>62.15222525970475</v>
      </c>
    </row>
    <row r="37" spans="1:9" s="88" customFormat="1" x14ac:dyDescent="0.25">
      <c r="A37" s="86"/>
      <c r="B37" s="86"/>
      <c r="C37" s="86">
        <v>41</v>
      </c>
      <c r="D37" s="86" t="s">
        <v>28</v>
      </c>
      <c r="E37" s="87">
        <f>E38</f>
        <v>49869.46</v>
      </c>
      <c r="F37" s="87">
        <f>F38</f>
        <v>91450</v>
      </c>
      <c r="G37" s="87">
        <f>G38</f>
        <v>56838.21</v>
      </c>
      <c r="H37" s="102">
        <f t="shared" si="0"/>
        <v>113.97398327553576</v>
      </c>
      <c r="I37" s="102">
        <f t="shared" si="1"/>
        <v>62.15222525970475</v>
      </c>
    </row>
    <row r="38" spans="1:9" x14ac:dyDescent="0.25">
      <c r="A38" s="6"/>
      <c r="B38" s="15">
        <v>652</v>
      </c>
      <c r="C38" s="7"/>
      <c r="D38" s="97" t="s">
        <v>103</v>
      </c>
      <c r="E38" s="92">
        <f>E39</f>
        <v>49869.46</v>
      </c>
      <c r="F38" s="92">
        <f>91450</f>
        <v>91450</v>
      </c>
      <c r="G38" s="92">
        <f>G39</f>
        <v>56838.21</v>
      </c>
      <c r="H38" s="102">
        <f t="shared" si="0"/>
        <v>113.97398327553576</v>
      </c>
      <c r="I38" s="102">
        <f t="shared" si="1"/>
        <v>62.15222525970475</v>
      </c>
    </row>
    <row r="39" spans="1:9" x14ac:dyDescent="0.25">
      <c r="A39" s="6"/>
      <c r="B39" s="6">
        <v>6526</v>
      </c>
      <c r="C39" s="7"/>
      <c r="D39" s="97" t="s">
        <v>104</v>
      </c>
      <c r="E39" s="36">
        <v>49869.46</v>
      </c>
      <c r="F39" s="36"/>
      <c r="G39" s="36">
        <v>56838.21</v>
      </c>
      <c r="H39" s="102">
        <f t="shared" si="0"/>
        <v>113.97398327553576</v>
      </c>
      <c r="I39" s="102" t="e">
        <f t="shared" si="1"/>
        <v>#DIV/0!</v>
      </c>
    </row>
    <row r="40" spans="1:9" ht="25.5" x14ac:dyDescent="0.25">
      <c r="A40" s="21"/>
      <c r="B40" s="21">
        <v>66</v>
      </c>
      <c r="C40" s="22"/>
      <c r="D40" s="23" t="s">
        <v>24</v>
      </c>
      <c r="E40" s="39">
        <f>E42+E46</f>
        <v>2648.11</v>
      </c>
      <c r="F40" s="39">
        <f>F41+F45</f>
        <v>5415</v>
      </c>
      <c r="G40" s="39">
        <f>G42+G46</f>
        <v>3345.06</v>
      </c>
      <c r="H40" s="102">
        <f t="shared" si="0"/>
        <v>126.31877074592821</v>
      </c>
      <c r="I40" s="102">
        <f t="shared" si="1"/>
        <v>61.773961218836561</v>
      </c>
    </row>
    <row r="41" spans="1:9" s="88" customFormat="1" x14ac:dyDescent="0.25">
      <c r="A41" s="86"/>
      <c r="B41" s="86"/>
      <c r="C41" s="86">
        <v>31</v>
      </c>
      <c r="D41" s="86" t="s">
        <v>30</v>
      </c>
      <c r="E41" s="87">
        <f>E42</f>
        <v>2268.11</v>
      </c>
      <c r="F41" s="87">
        <f>F42</f>
        <v>4965</v>
      </c>
      <c r="G41" s="87">
        <f>G42</f>
        <v>3295.06</v>
      </c>
      <c r="H41" s="102">
        <f t="shared" si="0"/>
        <v>145.27778635075018</v>
      </c>
      <c r="I41" s="102">
        <f t="shared" si="1"/>
        <v>66.365760322255781</v>
      </c>
    </row>
    <row r="42" spans="1:9" ht="22.5" x14ac:dyDescent="0.25">
      <c r="A42" s="6"/>
      <c r="B42" s="15">
        <v>661</v>
      </c>
      <c r="C42" s="7"/>
      <c r="D42" s="96" t="s">
        <v>105</v>
      </c>
      <c r="E42" s="92">
        <f>E43+E44</f>
        <v>2268.11</v>
      </c>
      <c r="F42" s="92">
        <f>800+4165</f>
        <v>4965</v>
      </c>
      <c r="G42" s="92">
        <f>G43+G44</f>
        <v>3295.06</v>
      </c>
      <c r="H42" s="102">
        <f t="shared" si="0"/>
        <v>145.27778635075018</v>
      </c>
      <c r="I42" s="102">
        <f t="shared" si="1"/>
        <v>66.365760322255781</v>
      </c>
    </row>
    <row r="43" spans="1:9" x14ac:dyDescent="0.25">
      <c r="A43" s="6"/>
      <c r="B43" s="6">
        <v>6614</v>
      </c>
      <c r="C43" s="7"/>
      <c r="D43" s="97" t="s">
        <v>106</v>
      </c>
      <c r="E43" s="36">
        <v>0</v>
      </c>
      <c r="F43" s="36"/>
      <c r="G43" s="36"/>
      <c r="H43" s="102" t="e">
        <f t="shared" si="0"/>
        <v>#DIV/0!</v>
      </c>
      <c r="I43" s="102" t="e">
        <f t="shared" si="1"/>
        <v>#DIV/0!</v>
      </c>
    </row>
    <row r="44" spans="1:9" x14ac:dyDescent="0.25">
      <c r="A44" s="6"/>
      <c r="B44" s="6">
        <v>6615</v>
      </c>
      <c r="C44" s="7"/>
      <c r="D44" s="97" t="s">
        <v>107</v>
      </c>
      <c r="E44" s="36">
        <v>2268.11</v>
      </c>
      <c r="F44" s="36"/>
      <c r="G44" s="36">
        <v>3295.06</v>
      </c>
      <c r="H44" s="102">
        <f t="shared" si="0"/>
        <v>145.27778635075018</v>
      </c>
      <c r="I44" s="102" t="e">
        <f t="shared" si="1"/>
        <v>#DIV/0!</v>
      </c>
    </row>
    <row r="45" spans="1:9" s="88" customFormat="1" x14ac:dyDescent="0.25">
      <c r="A45" s="86"/>
      <c r="B45" s="86"/>
      <c r="C45" s="86">
        <v>6103</v>
      </c>
      <c r="D45" s="86" t="s">
        <v>31</v>
      </c>
      <c r="E45" s="87">
        <f>E46</f>
        <v>380</v>
      </c>
      <c r="F45" s="87">
        <f>F46</f>
        <v>450</v>
      </c>
      <c r="G45" s="87">
        <f>G46</f>
        <v>50</v>
      </c>
      <c r="H45" s="102">
        <f t="shared" si="0"/>
        <v>13.157894736842104</v>
      </c>
      <c r="I45" s="102">
        <f t="shared" si="1"/>
        <v>11.111111111111111</v>
      </c>
    </row>
    <row r="46" spans="1:9" ht="33.75" x14ac:dyDescent="0.25">
      <c r="A46" s="6"/>
      <c r="B46" s="15">
        <v>663</v>
      </c>
      <c r="C46" s="7"/>
      <c r="D46" s="96" t="s">
        <v>108</v>
      </c>
      <c r="E46" s="92">
        <f>E47+E48</f>
        <v>380</v>
      </c>
      <c r="F46" s="92">
        <f>450</f>
        <v>450</v>
      </c>
      <c r="G46" s="92">
        <f>G47+G48</f>
        <v>50</v>
      </c>
      <c r="H46" s="102">
        <f t="shared" si="0"/>
        <v>13.157894736842104</v>
      </c>
      <c r="I46" s="102">
        <f t="shared" si="1"/>
        <v>11.111111111111111</v>
      </c>
    </row>
    <row r="47" spans="1:9" x14ac:dyDescent="0.25">
      <c r="A47" s="6"/>
      <c r="B47" s="6">
        <v>6631</v>
      </c>
      <c r="C47" s="7"/>
      <c r="D47" s="97" t="s">
        <v>109</v>
      </c>
      <c r="E47" s="36">
        <v>380</v>
      </c>
      <c r="F47" s="36"/>
      <c r="G47" s="36">
        <v>50</v>
      </c>
      <c r="H47" s="102">
        <f t="shared" si="0"/>
        <v>13.157894736842104</v>
      </c>
      <c r="I47" s="102" t="e">
        <f t="shared" si="1"/>
        <v>#DIV/0!</v>
      </c>
    </row>
    <row r="48" spans="1:9" x14ac:dyDescent="0.25">
      <c r="A48" s="6"/>
      <c r="B48" s="6">
        <v>6632</v>
      </c>
      <c r="C48" s="7"/>
      <c r="D48" s="97" t="s">
        <v>110</v>
      </c>
      <c r="E48" s="36">
        <v>0</v>
      </c>
      <c r="F48" s="36"/>
      <c r="G48" s="36"/>
      <c r="H48" s="102" t="e">
        <f t="shared" si="0"/>
        <v>#DIV/0!</v>
      </c>
      <c r="I48" s="102" t="e">
        <f t="shared" si="1"/>
        <v>#DIV/0!</v>
      </c>
    </row>
    <row r="49" spans="1:9" ht="25.5" x14ac:dyDescent="0.25">
      <c r="A49" s="21"/>
      <c r="B49" s="21">
        <v>67</v>
      </c>
      <c r="C49" s="22"/>
      <c r="D49" s="20" t="s">
        <v>16</v>
      </c>
      <c r="E49" s="39">
        <f t="shared" ref="E49:G50" si="9">E50</f>
        <v>284277.73</v>
      </c>
      <c r="F49" s="39">
        <f t="shared" si="9"/>
        <v>290243.37</v>
      </c>
      <c r="G49" s="39">
        <f t="shared" si="9"/>
        <v>281738.62</v>
      </c>
      <c r="H49" s="102">
        <f t="shared" si="0"/>
        <v>99.10682064331948</v>
      </c>
      <c r="I49" s="102">
        <f t="shared" si="1"/>
        <v>97.069786641465754</v>
      </c>
    </row>
    <row r="50" spans="1:9" s="88" customFormat="1" x14ac:dyDescent="0.25">
      <c r="A50" s="86"/>
      <c r="B50" s="86"/>
      <c r="C50" s="86">
        <v>11</v>
      </c>
      <c r="D50" s="86" t="s">
        <v>4</v>
      </c>
      <c r="E50" s="87">
        <f t="shared" si="9"/>
        <v>284277.73</v>
      </c>
      <c r="F50" s="87">
        <f t="shared" si="9"/>
        <v>290243.37</v>
      </c>
      <c r="G50" s="87">
        <f t="shared" si="9"/>
        <v>281738.62</v>
      </c>
      <c r="H50" s="102">
        <f t="shared" si="0"/>
        <v>99.10682064331948</v>
      </c>
      <c r="I50" s="102">
        <f t="shared" si="1"/>
        <v>97.069786641465754</v>
      </c>
    </row>
    <row r="51" spans="1:9" ht="33.75" x14ac:dyDescent="0.25">
      <c r="A51" s="6"/>
      <c r="B51" s="6">
        <v>671</v>
      </c>
      <c r="C51" s="7"/>
      <c r="D51" s="96" t="s">
        <v>111</v>
      </c>
      <c r="E51" s="36">
        <f>E52+E53</f>
        <v>284277.73</v>
      </c>
      <c r="F51" s="36">
        <f>263060+F65</f>
        <v>290243.37</v>
      </c>
      <c r="G51" s="36">
        <f>G52+G53</f>
        <v>281738.62</v>
      </c>
      <c r="H51" s="102">
        <f t="shared" si="0"/>
        <v>99.10682064331948</v>
      </c>
      <c r="I51" s="102">
        <f t="shared" si="1"/>
        <v>97.069786641465754</v>
      </c>
    </row>
    <row r="52" spans="1:9" ht="22.5" x14ac:dyDescent="0.25">
      <c r="A52" s="6"/>
      <c r="B52" s="6">
        <v>6711</v>
      </c>
      <c r="C52" s="7"/>
      <c r="D52" s="96" t="s">
        <v>112</v>
      </c>
      <c r="E52" s="36">
        <v>284277.73</v>
      </c>
      <c r="F52" s="36"/>
      <c r="G52" s="36">
        <v>281738.62</v>
      </c>
      <c r="H52" s="102">
        <f t="shared" si="0"/>
        <v>99.10682064331948</v>
      </c>
      <c r="I52" s="102" t="e">
        <f t="shared" si="1"/>
        <v>#DIV/0!</v>
      </c>
    </row>
    <row r="53" spans="1:9" ht="33.75" x14ac:dyDescent="0.25">
      <c r="A53" s="6"/>
      <c r="B53" s="6">
        <v>6712</v>
      </c>
      <c r="C53" s="7"/>
      <c r="D53" s="96" t="s">
        <v>172</v>
      </c>
      <c r="E53" s="36">
        <v>0</v>
      </c>
      <c r="F53" s="36"/>
      <c r="G53" s="36"/>
      <c r="H53" s="102" t="e">
        <f t="shared" si="0"/>
        <v>#DIV/0!</v>
      </c>
      <c r="I53" s="102" t="e">
        <f t="shared" si="1"/>
        <v>#DIV/0!</v>
      </c>
    </row>
    <row r="54" spans="1:9" x14ac:dyDescent="0.25">
      <c r="A54" s="21"/>
      <c r="B54" s="21">
        <v>68</v>
      </c>
      <c r="C54" s="22"/>
      <c r="D54" s="23" t="s">
        <v>20</v>
      </c>
      <c r="E54" s="39">
        <f t="shared" ref="E54" si="10">E57</f>
        <v>0.21</v>
      </c>
      <c r="F54" s="39">
        <f>F55</f>
        <v>90</v>
      </c>
      <c r="G54" s="39">
        <f>G57</f>
        <v>0</v>
      </c>
      <c r="H54" s="102">
        <f t="shared" si="0"/>
        <v>0</v>
      </c>
      <c r="I54" s="102">
        <f t="shared" si="1"/>
        <v>0</v>
      </c>
    </row>
    <row r="55" spans="1:9" s="172" customFormat="1" x14ac:dyDescent="0.25">
      <c r="A55" s="25"/>
      <c r="B55" s="25"/>
      <c r="C55" s="86">
        <v>31</v>
      </c>
      <c r="D55" s="86" t="s">
        <v>30</v>
      </c>
      <c r="E55" s="90">
        <f>E56</f>
        <v>0.21</v>
      </c>
      <c r="F55" s="90">
        <f>F56</f>
        <v>90</v>
      </c>
      <c r="G55" s="93">
        <f>G56</f>
        <v>0</v>
      </c>
      <c r="H55" s="102">
        <f t="shared" si="0"/>
        <v>0</v>
      </c>
      <c r="I55" s="102">
        <f t="shared" si="1"/>
        <v>0</v>
      </c>
    </row>
    <row r="56" spans="1:9" s="172" customFormat="1" x14ac:dyDescent="0.25">
      <c r="A56" s="25"/>
      <c r="B56" s="25">
        <v>683</v>
      </c>
      <c r="C56" s="86"/>
      <c r="D56" s="97" t="s">
        <v>215</v>
      </c>
      <c r="E56" s="108">
        <f>E57</f>
        <v>0.21</v>
      </c>
      <c r="F56" s="40">
        <v>90</v>
      </c>
      <c r="G56" s="40">
        <f>G57</f>
        <v>0</v>
      </c>
      <c r="H56" s="102">
        <f t="shared" si="0"/>
        <v>0</v>
      </c>
      <c r="I56" s="102">
        <f t="shared" si="1"/>
        <v>0</v>
      </c>
    </row>
    <row r="57" spans="1:9" s="91" customFormat="1" x14ac:dyDescent="0.25">
      <c r="A57" s="139"/>
      <c r="B57" s="139">
        <v>6831</v>
      </c>
      <c r="C57" s="138"/>
      <c r="D57" s="97" t="s">
        <v>215</v>
      </c>
      <c r="E57" s="108">
        <v>0.21</v>
      </c>
      <c r="F57" s="108"/>
      <c r="G57" s="108"/>
      <c r="H57" s="102">
        <f t="shared" si="0"/>
        <v>0</v>
      </c>
      <c r="I57" s="102" t="e">
        <f t="shared" si="1"/>
        <v>#DIV/0!</v>
      </c>
    </row>
    <row r="58" spans="1:9" s="91" customFormat="1" x14ac:dyDescent="0.25">
      <c r="A58" s="131"/>
      <c r="B58" s="131"/>
      <c r="C58" s="132"/>
      <c r="D58" s="132"/>
      <c r="E58" s="132"/>
      <c r="F58" s="133"/>
      <c r="G58" s="133"/>
      <c r="H58" s="134"/>
    </row>
    <row r="59" spans="1:9" ht="15.75" x14ac:dyDescent="0.25">
      <c r="A59" s="233" t="s">
        <v>163</v>
      </c>
      <c r="B59" s="236"/>
      <c r="C59" s="236"/>
      <c r="D59" s="236"/>
      <c r="E59" s="236"/>
      <c r="F59" s="236"/>
      <c r="G59" s="236"/>
      <c r="H59" s="236"/>
    </row>
    <row r="60" spans="1:9" x14ac:dyDescent="0.25">
      <c r="A60" s="33"/>
      <c r="B60" s="33"/>
      <c r="C60" s="34"/>
      <c r="D60" s="34"/>
      <c r="E60" s="34"/>
      <c r="F60" s="35"/>
      <c r="G60" s="35"/>
      <c r="H60" s="101"/>
    </row>
    <row r="61" spans="1:9" ht="25.5" customHeight="1" x14ac:dyDescent="0.25">
      <c r="A61" s="240" t="s">
        <v>10</v>
      </c>
      <c r="B61" s="241"/>
      <c r="C61" s="241"/>
      <c r="D61" s="242"/>
      <c r="E61" s="162" t="s">
        <v>235</v>
      </c>
      <c r="F61" s="13" t="s">
        <v>232</v>
      </c>
      <c r="G61" s="162" t="s">
        <v>234</v>
      </c>
      <c r="H61" s="13" t="s">
        <v>189</v>
      </c>
      <c r="I61" s="13" t="s">
        <v>190</v>
      </c>
    </row>
    <row r="62" spans="1:9" x14ac:dyDescent="0.25">
      <c r="A62" s="237">
        <v>1</v>
      </c>
      <c r="B62" s="238"/>
      <c r="C62" s="238"/>
      <c r="D62" s="239"/>
      <c r="E62" s="79">
        <v>2</v>
      </c>
      <c r="F62" s="80">
        <v>3</v>
      </c>
      <c r="G62" s="80">
        <v>4</v>
      </c>
      <c r="H62" s="163" t="s">
        <v>207</v>
      </c>
      <c r="I62" s="163" t="s">
        <v>208</v>
      </c>
    </row>
    <row r="63" spans="1:9" x14ac:dyDescent="0.25">
      <c r="A63" s="26">
        <v>9</v>
      </c>
      <c r="B63" s="26"/>
      <c r="C63" s="26"/>
      <c r="D63" s="26" t="s">
        <v>62</v>
      </c>
      <c r="E63" s="26"/>
      <c r="F63" s="27"/>
      <c r="G63" s="27"/>
      <c r="H63" s="175"/>
      <c r="I63" s="176"/>
    </row>
    <row r="64" spans="1:9" x14ac:dyDescent="0.25">
      <c r="A64" s="19"/>
      <c r="B64" s="20">
        <v>92</v>
      </c>
      <c r="C64" s="20"/>
      <c r="D64" s="20" t="s">
        <v>220</v>
      </c>
      <c r="E64" s="39">
        <f>SUM(E65:E70)</f>
        <v>18741.009999999998</v>
      </c>
      <c r="F64" s="39">
        <f>SUM(F65:F70)</f>
        <v>47703.4</v>
      </c>
      <c r="G64" s="39">
        <f>SUM(G65:G70)</f>
        <v>47703.4</v>
      </c>
      <c r="H64" s="102">
        <f>G64/E64*100</f>
        <v>254.54017686346683</v>
      </c>
      <c r="I64" s="178">
        <f>G64/F64*100</f>
        <v>100</v>
      </c>
    </row>
    <row r="65" spans="1:9" x14ac:dyDescent="0.25">
      <c r="A65" s="6"/>
      <c r="B65" s="6"/>
      <c r="C65" s="7">
        <v>11</v>
      </c>
      <c r="D65" s="7" t="s">
        <v>4</v>
      </c>
      <c r="E65" s="198">
        <v>13553.65</v>
      </c>
      <c r="F65" s="36">
        <f>6231.27+281.1+4293.92+10613.9+1013.18+4750</f>
        <v>27183.370000000003</v>
      </c>
      <c r="G65" s="36">
        <v>27183.37</v>
      </c>
      <c r="H65" s="102">
        <f t="shared" ref="H65:H70" si="11">G65/E65*100</f>
        <v>200.56125102832078</v>
      </c>
      <c r="I65" s="178">
        <f t="shared" ref="I65:I70" si="12">G65/F65*100</f>
        <v>99.999999999999986</v>
      </c>
    </row>
    <row r="66" spans="1:9" x14ac:dyDescent="0.25">
      <c r="A66" s="6"/>
      <c r="B66" s="6"/>
      <c r="C66" s="7">
        <v>6103</v>
      </c>
      <c r="D66" s="7" t="s">
        <v>31</v>
      </c>
      <c r="E66" s="198">
        <v>0</v>
      </c>
      <c r="F66" s="36">
        <v>0</v>
      </c>
      <c r="G66" s="36">
        <v>0</v>
      </c>
      <c r="H66" s="102" t="e">
        <f t="shared" si="11"/>
        <v>#DIV/0!</v>
      </c>
      <c r="I66" s="178" t="e">
        <f t="shared" si="12"/>
        <v>#DIV/0!</v>
      </c>
    </row>
    <row r="67" spans="1:9" x14ac:dyDescent="0.25">
      <c r="A67" s="6"/>
      <c r="B67" s="6"/>
      <c r="C67" s="7">
        <v>51</v>
      </c>
      <c r="D67" s="7" t="s">
        <v>164</v>
      </c>
      <c r="E67" s="198">
        <v>0</v>
      </c>
      <c r="F67" s="36">
        <f>78.08</f>
        <v>78.08</v>
      </c>
      <c r="G67" s="36">
        <v>78.08</v>
      </c>
      <c r="H67" s="102" t="e">
        <f t="shared" si="11"/>
        <v>#DIV/0!</v>
      </c>
      <c r="I67" s="178">
        <f t="shared" si="12"/>
        <v>100</v>
      </c>
    </row>
    <row r="68" spans="1:9" x14ac:dyDescent="0.25">
      <c r="A68" s="6"/>
      <c r="B68" s="6"/>
      <c r="C68" s="7">
        <v>5402</v>
      </c>
      <c r="D68" s="7" t="s">
        <v>249</v>
      </c>
      <c r="E68" s="198">
        <v>0</v>
      </c>
      <c r="F68" s="36">
        <v>0</v>
      </c>
      <c r="G68" s="36"/>
      <c r="H68" s="102" t="e">
        <f t="shared" si="11"/>
        <v>#DIV/0!</v>
      </c>
      <c r="I68" s="178" t="e">
        <f t="shared" si="12"/>
        <v>#DIV/0!</v>
      </c>
    </row>
    <row r="69" spans="1:9" x14ac:dyDescent="0.25">
      <c r="A69" s="6"/>
      <c r="B69" s="6"/>
      <c r="C69" s="7">
        <v>57</v>
      </c>
      <c r="D69" s="7" t="s">
        <v>29</v>
      </c>
      <c r="E69" s="198">
        <v>0</v>
      </c>
      <c r="F69" s="36">
        <f>15218.39+3662.16</f>
        <v>18880.55</v>
      </c>
      <c r="G69" s="36">
        <f>15218.39+3662.16</f>
        <v>18880.55</v>
      </c>
      <c r="H69" s="102" t="e">
        <f t="shared" si="11"/>
        <v>#DIV/0!</v>
      </c>
      <c r="I69" s="178">
        <f t="shared" si="12"/>
        <v>100</v>
      </c>
    </row>
    <row r="70" spans="1:9" x14ac:dyDescent="0.25">
      <c r="A70" s="6"/>
      <c r="B70" s="6"/>
      <c r="C70" s="7">
        <v>5402</v>
      </c>
      <c r="D70" s="7" t="s">
        <v>165</v>
      </c>
      <c r="E70" s="198">
        <v>5187.3599999999997</v>
      </c>
      <c r="F70" s="36">
        <v>1561.4</v>
      </c>
      <c r="G70" s="36">
        <v>1561.4</v>
      </c>
      <c r="H70" s="102">
        <f t="shared" si="11"/>
        <v>30.10008944819716</v>
      </c>
      <c r="I70" s="178">
        <f t="shared" si="12"/>
        <v>100</v>
      </c>
    </row>
    <row r="71" spans="1:9" s="91" customFormat="1" x14ac:dyDescent="0.25">
      <c r="A71" s="131"/>
      <c r="B71" s="131"/>
      <c r="C71" s="132"/>
      <c r="D71" s="132"/>
      <c r="E71" s="132"/>
      <c r="F71" s="133"/>
      <c r="G71" s="133"/>
      <c r="H71" s="134"/>
    </row>
    <row r="72" spans="1:9" ht="15.75" customHeight="1" x14ac:dyDescent="0.25">
      <c r="A72" s="233" t="s">
        <v>64</v>
      </c>
      <c r="B72" s="236"/>
      <c r="C72" s="236"/>
      <c r="D72" s="236"/>
      <c r="E72" s="236"/>
      <c r="F72" s="236"/>
      <c r="G72" s="236"/>
      <c r="H72" s="236"/>
    </row>
    <row r="73" spans="1:9" x14ac:dyDescent="0.25">
      <c r="A73" s="33"/>
      <c r="B73" s="33"/>
      <c r="C73" s="34"/>
      <c r="D73" s="34"/>
      <c r="E73" s="34"/>
      <c r="F73" s="35"/>
      <c r="G73" s="35"/>
      <c r="H73" s="101"/>
    </row>
    <row r="74" spans="1:9" ht="25.5" x14ac:dyDescent="0.25">
      <c r="A74" s="240" t="s">
        <v>10</v>
      </c>
      <c r="B74" s="241"/>
      <c r="C74" s="241"/>
      <c r="D74" s="242"/>
      <c r="E74" s="162" t="s">
        <v>235</v>
      </c>
      <c r="F74" s="13" t="s">
        <v>232</v>
      </c>
      <c r="G74" s="162" t="s">
        <v>234</v>
      </c>
      <c r="H74" s="13" t="s">
        <v>189</v>
      </c>
      <c r="I74" s="13" t="s">
        <v>190</v>
      </c>
    </row>
    <row r="75" spans="1:9" x14ac:dyDescent="0.25">
      <c r="A75" s="237">
        <v>1</v>
      </c>
      <c r="B75" s="238"/>
      <c r="C75" s="238"/>
      <c r="D75" s="239"/>
      <c r="E75" s="121">
        <v>2</v>
      </c>
      <c r="F75" s="80">
        <v>3</v>
      </c>
      <c r="G75" s="80">
        <v>4</v>
      </c>
      <c r="H75" s="163" t="s">
        <v>207</v>
      </c>
      <c r="I75" s="163" t="s">
        <v>208</v>
      </c>
    </row>
    <row r="76" spans="1:9" x14ac:dyDescent="0.25">
      <c r="A76" s="26">
        <v>9</v>
      </c>
      <c r="B76" s="26"/>
      <c r="C76" s="26"/>
      <c r="D76" s="26" t="s">
        <v>62</v>
      </c>
      <c r="E76" s="26"/>
      <c r="F76" s="27"/>
      <c r="G76" s="27"/>
      <c r="H76" s="175"/>
      <c r="I76" s="176"/>
    </row>
    <row r="77" spans="1:9" x14ac:dyDescent="0.25">
      <c r="A77" s="19"/>
      <c r="B77" s="20">
        <v>92</v>
      </c>
      <c r="C77" s="20"/>
      <c r="D77" s="20" t="s">
        <v>221</v>
      </c>
      <c r="E77" s="39">
        <f>SUM(E78:E83)</f>
        <v>14244.050000000001</v>
      </c>
      <c r="F77" s="39">
        <f>SUM(F78:F83)</f>
        <v>22608.41</v>
      </c>
      <c r="G77" s="39">
        <f>SUM(G78:G83)</f>
        <v>10868.93</v>
      </c>
      <c r="H77" s="102">
        <f>G77/E77*100</f>
        <v>76.305053689084218</v>
      </c>
      <c r="I77" s="177">
        <f>G77/F77*100</f>
        <v>48.07472086714634</v>
      </c>
    </row>
    <row r="78" spans="1:9" x14ac:dyDescent="0.25">
      <c r="A78" s="6"/>
      <c r="B78" s="6"/>
      <c r="C78" s="7">
        <v>9231</v>
      </c>
      <c r="D78" s="7" t="s">
        <v>59</v>
      </c>
      <c r="E78" s="36">
        <v>992.22</v>
      </c>
      <c r="F78" s="36">
        <f>659.04+3512.95</f>
        <v>4171.99</v>
      </c>
      <c r="G78" s="36">
        <f>928.81+0.01+268.17</f>
        <v>1196.99</v>
      </c>
      <c r="H78" s="102">
        <f t="shared" ref="H78:H83" si="13">G78/E78*100</f>
        <v>120.63756021849991</v>
      </c>
      <c r="I78" s="177">
        <f t="shared" ref="I78:I83" si="14">G78/F78*100</f>
        <v>28.691104245216316</v>
      </c>
    </row>
    <row r="79" spans="1:9" x14ac:dyDescent="0.25">
      <c r="A79" s="6"/>
      <c r="B79" s="6"/>
      <c r="C79" s="7">
        <v>9241</v>
      </c>
      <c r="D79" s="7" t="s">
        <v>28</v>
      </c>
      <c r="E79" s="36">
        <v>293.55</v>
      </c>
      <c r="F79" s="36">
        <f>11404.31</f>
        <v>11404.31</v>
      </c>
      <c r="G79" s="36">
        <f>5339.13+1537.65</f>
        <v>6876.7800000000007</v>
      </c>
      <c r="H79" s="102">
        <f t="shared" si="13"/>
        <v>2342.626469085335</v>
      </c>
      <c r="I79" s="177">
        <f t="shared" si="14"/>
        <v>60.29983401012425</v>
      </c>
    </row>
    <row r="80" spans="1:9" x14ac:dyDescent="0.25">
      <c r="A80" s="6"/>
      <c r="B80" s="6"/>
      <c r="C80" s="7">
        <v>92530</v>
      </c>
      <c r="D80" s="7" t="s">
        <v>32</v>
      </c>
      <c r="E80" s="36">
        <v>11619.5</v>
      </c>
      <c r="F80" s="36">
        <v>0</v>
      </c>
      <c r="G80" s="36">
        <v>0</v>
      </c>
      <c r="H80" s="102">
        <f t="shared" si="13"/>
        <v>0</v>
      </c>
      <c r="I80" s="177" t="e">
        <f t="shared" si="14"/>
        <v>#DIV/0!</v>
      </c>
    </row>
    <row r="81" spans="1:12" x14ac:dyDescent="0.25">
      <c r="A81" s="6"/>
      <c r="B81" s="6"/>
      <c r="C81" s="7">
        <v>925402</v>
      </c>
      <c r="D81" s="7" t="s">
        <v>91</v>
      </c>
      <c r="E81" s="36">
        <v>0</v>
      </c>
      <c r="F81" s="36">
        <f>1134.77</f>
        <v>1134.77</v>
      </c>
      <c r="G81" s="36">
        <f>1048.69</f>
        <v>1048.69</v>
      </c>
      <c r="H81" s="102" t="e">
        <f t="shared" si="13"/>
        <v>#DIV/0!</v>
      </c>
      <c r="I81" s="177">
        <f t="shared" si="14"/>
        <v>92.414321844955367</v>
      </c>
    </row>
    <row r="82" spans="1:12" x14ac:dyDescent="0.25">
      <c r="A82" s="6"/>
      <c r="B82" s="6"/>
      <c r="C82" s="7">
        <v>9257</v>
      </c>
      <c r="D82" s="7" t="s">
        <v>29</v>
      </c>
      <c r="E82" s="36">
        <v>1027.8499999999999</v>
      </c>
      <c r="F82" s="36">
        <f>3513+312.72+654.53+746.25</f>
        <v>5226.5</v>
      </c>
      <c r="G82" s="36">
        <f>832.58+746.25</f>
        <v>1578.83</v>
      </c>
      <c r="H82" s="102">
        <f t="shared" si="13"/>
        <v>153.60509802013914</v>
      </c>
      <c r="I82" s="177">
        <f t="shared" si="14"/>
        <v>30.208169903377019</v>
      </c>
    </row>
    <row r="83" spans="1:12" x14ac:dyDescent="0.25">
      <c r="A83" s="6"/>
      <c r="B83" s="6"/>
      <c r="C83" s="7">
        <v>926103</v>
      </c>
      <c r="D83" s="7" t="s">
        <v>31</v>
      </c>
      <c r="E83" s="36">
        <v>310.93</v>
      </c>
      <c r="F83" s="36">
        <f>670.84</f>
        <v>670.84</v>
      </c>
      <c r="G83" s="36">
        <f>167.64</f>
        <v>167.64</v>
      </c>
      <c r="H83" s="102">
        <f t="shared" si="13"/>
        <v>53.915672337825228</v>
      </c>
      <c r="I83" s="177">
        <f t="shared" si="14"/>
        <v>24.989565321089973</v>
      </c>
    </row>
    <row r="84" spans="1:12" x14ac:dyDescent="0.25">
      <c r="A84" s="6"/>
      <c r="B84" s="6"/>
      <c r="C84" s="7"/>
      <c r="D84" s="7"/>
      <c r="E84" s="7"/>
      <c r="F84" s="4"/>
      <c r="G84" s="4"/>
      <c r="H84" s="175"/>
      <c r="I84" s="176"/>
    </row>
    <row r="85" spans="1:12" s="91" customFormat="1" x14ac:dyDescent="0.25">
      <c r="A85" s="131"/>
      <c r="B85" s="131"/>
      <c r="C85" s="132"/>
      <c r="D85" s="132"/>
      <c r="E85" s="132"/>
      <c r="F85" s="133"/>
      <c r="G85" s="133"/>
      <c r="H85" s="134"/>
    </row>
    <row r="86" spans="1:12" ht="15.75" x14ac:dyDescent="0.25">
      <c r="A86" s="233" t="s">
        <v>5</v>
      </c>
      <c r="B86" s="236"/>
      <c r="C86" s="236"/>
      <c r="D86" s="236"/>
      <c r="E86" s="236"/>
      <c r="F86" s="236"/>
      <c r="G86" s="236"/>
      <c r="H86" s="236"/>
    </row>
    <row r="87" spans="1:12" ht="18" x14ac:dyDescent="0.25">
      <c r="A87" s="2"/>
      <c r="B87" s="2"/>
      <c r="C87" s="2"/>
      <c r="D87" s="2"/>
      <c r="E87" s="14"/>
      <c r="F87" s="42"/>
      <c r="G87" s="42"/>
      <c r="H87" s="42"/>
      <c r="I87" s="31"/>
    </row>
    <row r="88" spans="1:12" ht="25.5" x14ac:dyDescent="0.25">
      <c r="A88" s="240" t="s">
        <v>10</v>
      </c>
      <c r="B88" s="241"/>
      <c r="C88" s="241"/>
      <c r="D88" s="242"/>
      <c r="E88" s="162" t="s">
        <v>235</v>
      </c>
      <c r="F88" s="13" t="s">
        <v>232</v>
      </c>
      <c r="G88" s="162" t="s">
        <v>234</v>
      </c>
      <c r="H88" s="13" t="s">
        <v>189</v>
      </c>
      <c r="I88" s="13" t="s">
        <v>190</v>
      </c>
    </row>
    <row r="89" spans="1:12" x14ac:dyDescent="0.25">
      <c r="A89" s="237">
        <v>1</v>
      </c>
      <c r="B89" s="238"/>
      <c r="C89" s="238"/>
      <c r="D89" s="239"/>
      <c r="E89" s="79">
        <v>2</v>
      </c>
      <c r="F89" s="80">
        <v>3</v>
      </c>
      <c r="G89" s="80">
        <v>4</v>
      </c>
      <c r="H89" s="163" t="s">
        <v>207</v>
      </c>
      <c r="I89" s="163" t="s">
        <v>208</v>
      </c>
    </row>
    <row r="90" spans="1:12" x14ac:dyDescent="0.25">
      <c r="A90" s="170"/>
      <c r="B90" s="171"/>
      <c r="C90" s="171"/>
      <c r="D90" s="166" t="s">
        <v>11</v>
      </c>
      <c r="E90" s="174">
        <f>E91+E140</f>
        <v>1974974.12</v>
      </c>
      <c r="F90" s="174">
        <f>F91+F140</f>
        <v>2740261.58</v>
      </c>
      <c r="G90" s="174">
        <f t="shared" ref="G90" si="15">G91+G140</f>
        <v>2437435.1899999995</v>
      </c>
      <c r="H90" s="173">
        <f>(G90/E90)*100</f>
        <v>123.41605721901811</v>
      </c>
      <c r="I90" s="179">
        <f>(G90/F90)*100</f>
        <v>88.948996978602295</v>
      </c>
    </row>
    <row r="91" spans="1:12" ht="15.75" customHeight="1" x14ac:dyDescent="0.25">
      <c r="A91" s="26">
        <v>3</v>
      </c>
      <c r="B91" s="26"/>
      <c r="C91" s="26"/>
      <c r="D91" s="26" t="s">
        <v>6</v>
      </c>
      <c r="E91" s="41">
        <f>E92+E99+E130+E134+E138</f>
        <v>1974680.57</v>
      </c>
      <c r="F91" s="41">
        <f>F92+F99+F130+F134+F138</f>
        <v>2720169.39</v>
      </c>
      <c r="G91" s="41">
        <f t="shared" ref="G91" si="16">G92+G99+G130+G134+G138</f>
        <v>2435151.2799999993</v>
      </c>
      <c r="H91" s="173">
        <f>(G91/E91)*100</f>
        <v>123.31874415516224</v>
      </c>
      <c r="I91" s="179">
        <f>(G91/F91)*100</f>
        <v>89.522045537024411</v>
      </c>
      <c r="L91" s="110"/>
    </row>
    <row r="92" spans="1:12" ht="15.75" customHeight="1" x14ac:dyDescent="0.25">
      <c r="A92" s="19"/>
      <c r="B92" s="20">
        <v>31</v>
      </c>
      <c r="C92" s="20"/>
      <c r="D92" s="20" t="s">
        <v>7</v>
      </c>
      <c r="E92" s="39">
        <f>E93+E95+E97</f>
        <v>1681554.3</v>
      </c>
      <c r="F92" s="39">
        <f>'POSEBNI DIO'!E74+'POSEBNI DIO'!E77+'POSEBNI DIO'!E80+'POSEBNI DIO'!E87+'POSEBNI DIO'!E97+'POSEBNI DIO'!E107+'POSEBNI DIO'!E126+'POSEBNI DIO'!E310+'POSEBNI DIO'!E349+'POSEBNI DIO'!E362+'POSEBNI DIO'!E375+'POSEBNI DIO'!E389</f>
        <v>2218330.09</v>
      </c>
      <c r="G92" s="39">
        <f t="shared" ref="G92" si="17">G93+G95+G97</f>
        <v>2135373.5</v>
      </c>
      <c r="H92" s="180">
        <f t="shared" ref="H92:H152" si="18">(G92/E92)*100</f>
        <v>126.988078826833</v>
      </c>
      <c r="I92" s="181">
        <f t="shared" ref="I92:I150" si="19">(G92/F92)*100</f>
        <v>96.260403698531633</v>
      </c>
    </row>
    <row r="93" spans="1:12" x14ac:dyDescent="0.25">
      <c r="A93" s="6"/>
      <c r="B93" s="15">
        <v>311</v>
      </c>
      <c r="C93" s="7"/>
      <c r="D93" s="96" t="s">
        <v>113</v>
      </c>
      <c r="E93" s="92">
        <f>E94</f>
        <v>1405320.26</v>
      </c>
      <c r="F93" s="92"/>
      <c r="G93" s="92">
        <f t="shared" ref="G93" si="20">G94</f>
        <v>1789313.5</v>
      </c>
      <c r="H93" s="173">
        <f t="shared" si="18"/>
        <v>127.32425134182581</v>
      </c>
      <c r="I93" s="179"/>
    </row>
    <row r="94" spans="1:12" x14ac:dyDescent="0.25">
      <c r="A94" s="6"/>
      <c r="B94" s="6">
        <v>3111</v>
      </c>
      <c r="C94" s="7"/>
      <c r="D94" s="96" t="s">
        <v>114</v>
      </c>
      <c r="E94" s="36">
        <v>1405320.26</v>
      </c>
      <c r="F94" s="36"/>
      <c r="G94" s="36">
        <v>1789313.5</v>
      </c>
      <c r="H94" s="173">
        <f t="shared" si="18"/>
        <v>127.32425134182581</v>
      </c>
      <c r="I94" s="179"/>
    </row>
    <row r="95" spans="1:12" x14ac:dyDescent="0.25">
      <c r="A95" s="6"/>
      <c r="B95" s="15">
        <v>312</v>
      </c>
      <c r="C95" s="7"/>
      <c r="D95" s="96" t="s">
        <v>115</v>
      </c>
      <c r="E95" s="92">
        <f>E96</f>
        <v>52344.79</v>
      </c>
      <c r="F95" s="92"/>
      <c r="G95" s="92">
        <f t="shared" ref="G95" si="21">G96</f>
        <v>63599.13</v>
      </c>
      <c r="H95" s="173">
        <f t="shared" si="18"/>
        <v>121.5004014726203</v>
      </c>
      <c r="I95" s="179"/>
    </row>
    <row r="96" spans="1:12" x14ac:dyDescent="0.25">
      <c r="A96" s="6"/>
      <c r="B96" s="6">
        <v>3121</v>
      </c>
      <c r="C96" s="7"/>
      <c r="D96" s="96" t="s">
        <v>115</v>
      </c>
      <c r="E96" s="36">
        <v>52344.79</v>
      </c>
      <c r="F96" s="36"/>
      <c r="G96" s="36">
        <v>63599.13</v>
      </c>
      <c r="H96" s="173">
        <f t="shared" si="18"/>
        <v>121.5004014726203</v>
      </c>
      <c r="I96" s="179"/>
    </row>
    <row r="97" spans="1:9" x14ac:dyDescent="0.25">
      <c r="A97" s="6"/>
      <c r="B97" s="15">
        <v>313</v>
      </c>
      <c r="C97" s="7"/>
      <c r="D97" s="96" t="s">
        <v>116</v>
      </c>
      <c r="E97" s="92">
        <f>E98</f>
        <v>223889.25</v>
      </c>
      <c r="F97" s="92"/>
      <c r="G97" s="92">
        <f t="shared" ref="G97" si="22">G98</f>
        <v>282460.87</v>
      </c>
      <c r="H97" s="173">
        <f t="shared" si="18"/>
        <v>126.16097914482272</v>
      </c>
      <c r="I97" s="179"/>
    </row>
    <row r="98" spans="1:9" ht="22.5" x14ac:dyDescent="0.25">
      <c r="A98" s="6"/>
      <c r="B98" s="6">
        <v>3132</v>
      </c>
      <c r="C98" s="7"/>
      <c r="D98" s="96" t="s">
        <v>117</v>
      </c>
      <c r="E98" s="36">
        <v>223889.25</v>
      </c>
      <c r="F98" s="36"/>
      <c r="G98" s="36">
        <v>282460.87</v>
      </c>
      <c r="H98" s="173">
        <f t="shared" si="18"/>
        <v>126.16097914482272</v>
      </c>
      <c r="I98" s="179"/>
    </row>
    <row r="99" spans="1:9" x14ac:dyDescent="0.25">
      <c r="A99" s="21"/>
      <c r="B99" s="21">
        <v>32</v>
      </c>
      <c r="C99" s="22"/>
      <c r="D99" s="21" t="s">
        <v>14</v>
      </c>
      <c r="E99" s="39">
        <f>E100+E105+E112+E121+E123</f>
        <v>292884.96999999997</v>
      </c>
      <c r="F99" s="39">
        <f>'POSEBNI DIO'!E13+'POSEBNI DIO'!E63+'POSEBNI DIO'!E92+'POSEBNI DIO'!E102+'POSEBNI DIO'!E117+'POSEBNI DIO'!E130+'POSEBNI DIO'!E139+'POSEBNI DIO'!E158+'POSEBNI DIO'!E181+'POSEBNI DIO'!E188+'POSEBNI DIO'!E199+'POSEBNI DIO'!E207+'POSEBNI DIO'!E230+'POSEBNI DIO'!E242+'POSEBNI DIO'!E252+'POSEBNI DIO'!E301+'POSEBNI DIO'!E317+'POSEBNI DIO'!E329+'POSEBNI DIO'!E338+'POSEBNI DIO'!E343+'POSEBNI DIO'!E356+'POSEBNI DIO'!E369+'POSEBNI DIO'!E382+'POSEBNI DIO'!E396</f>
        <v>495837.85000000003</v>
      </c>
      <c r="G99" s="39">
        <f t="shared" ref="G99" si="23">G100+G105+G112+G121+G123</f>
        <v>297233.05</v>
      </c>
      <c r="H99" s="180">
        <f t="shared" si="18"/>
        <v>101.48456918086306</v>
      </c>
      <c r="I99" s="181">
        <f t="shared" si="19"/>
        <v>59.945615285319576</v>
      </c>
    </row>
    <row r="100" spans="1:9" x14ac:dyDescent="0.25">
      <c r="A100" s="6"/>
      <c r="B100" s="15">
        <v>321</v>
      </c>
      <c r="C100" s="7"/>
      <c r="D100" s="96" t="s">
        <v>118</v>
      </c>
      <c r="E100" s="92">
        <f>SUM(E101:E104)</f>
        <v>36886.450000000004</v>
      </c>
      <c r="F100" s="92"/>
      <c r="G100" s="92">
        <f t="shared" ref="G100" si="24">SUM(G101:G104)</f>
        <v>41859.96</v>
      </c>
      <c r="H100" s="173">
        <f t="shared" si="18"/>
        <v>113.48329806744752</v>
      </c>
      <c r="I100" s="179"/>
    </row>
    <row r="101" spans="1:9" x14ac:dyDescent="0.25">
      <c r="A101" s="6"/>
      <c r="B101" s="6">
        <v>3211</v>
      </c>
      <c r="C101" s="7"/>
      <c r="D101" s="96" t="s">
        <v>119</v>
      </c>
      <c r="E101" s="36">
        <v>5265.12</v>
      </c>
      <c r="F101" s="36"/>
      <c r="G101" s="36">
        <v>4606.6000000000004</v>
      </c>
      <c r="H101" s="173">
        <f t="shared" si="18"/>
        <v>87.492782690612941</v>
      </c>
      <c r="I101" s="179"/>
    </row>
    <row r="102" spans="1:9" ht="22.5" x14ac:dyDescent="0.25">
      <c r="A102" s="6"/>
      <c r="B102" s="6">
        <v>3212</v>
      </c>
      <c r="C102" s="7"/>
      <c r="D102" s="96" t="s">
        <v>120</v>
      </c>
      <c r="E102" s="36">
        <v>30166.33</v>
      </c>
      <c r="F102" s="36"/>
      <c r="G102" s="36">
        <v>35595.86</v>
      </c>
      <c r="H102" s="173">
        <f t="shared" si="18"/>
        <v>117.99864285778216</v>
      </c>
      <c r="I102" s="179"/>
    </row>
    <row r="103" spans="1:9" x14ac:dyDescent="0.25">
      <c r="A103" s="6"/>
      <c r="B103" s="6">
        <v>3213</v>
      </c>
      <c r="C103" s="7"/>
      <c r="D103" s="96" t="s">
        <v>121</v>
      </c>
      <c r="E103" s="36">
        <v>525</v>
      </c>
      <c r="F103" s="36"/>
      <c r="G103" s="36">
        <v>601.5</v>
      </c>
      <c r="H103" s="173">
        <f t="shared" si="18"/>
        <v>114.57142857142857</v>
      </c>
      <c r="I103" s="179"/>
    </row>
    <row r="104" spans="1:9" ht="22.5" x14ac:dyDescent="0.25">
      <c r="A104" s="6"/>
      <c r="B104" s="6">
        <v>3214</v>
      </c>
      <c r="C104" s="7"/>
      <c r="D104" s="96" t="s">
        <v>122</v>
      </c>
      <c r="E104" s="36">
        <v>930</v>
      </c>
      <c r="F104" s="36"/>
      <c r="G104" s="36">
        <v>1056</v>
      </c>
      <c r="H104" s="173">
        <f t="shared" si="18"/>
        <v>113.54838709677419</v>
      </c>
      <c r="I104" s="179"/>
    </row>
    <row r="105" spans="1:9" x14ac:dyDescent="0.25">
      <c r="A105" s="6"/>
      <c r="B105" s="15">
        <v>322</v>
      </c>
      <c r="C105" s="7"/>
      <c r="D105" s="96" t="s">
        <v>123</v>
      </c>
      <c r="E105" s="92">
        <f>SUM(E106:E111)</f>
        <v>213929</v>
      </c>
      <c r="F105" s="92"/>
      <c r="G105" s="92">
        <f t="shared" ref="G105" si="25">SUM(G106:G111)</f>
        <v>207793.38</v>
      </c>
      <c r="H105" s="173">
        <f t="shared" si="18"/>
        <v>97.131936296621774</v>
      </c>
      <c r="I105" s="179"/>
    </row>
    <row r="106" spans="1:9" ht="22.5" x14ac:dyDescent="0.25">
      <c r="A106" s="6"/>
      <c r="B106" s="6">
        <v>3221</v>
      </c>
      <c r="C106" s="7"/>
      <c r="D106" s="96" t="s">
        <v>124</v>
      </c>
      <c r="E106" s="36">
        <v>15780.57</v>
      </c>
      <c r="F106" s="36"/>
      <c r="G106" s="36">
        <v>15501.99</v>
      </c>
      <c r="H106" s="173">
        <f t="shared" si="18"/>
        <v>98.23466452732697</v>
      </c>
      <c r="I106" s="179"/>
    </row>
    <row r="107" spans="1:9" x14ac:dyDescent="0.25">
      <c r="A107" s="6"/>
      <c r="B107" s="6">
        <v>3222</v>
      </c>
      <c r="C107" s="7"/>
      <c r="D107" s="96" t="s">
        <v>125</v>
      </c>
      <c r="E107" s="36">
        <v>165250.92000000001</v>
      </c>
      <c r="F107" s="36"/>
      <c r="G107" s="36">
        <v>171356.17</v>
      </c>
      <c r="H107" s="173">
        <f t="shared" si="18"/>
        <v>103.69453313784879</v>
      </c>
      <c r="I107" s="179"/>
    </row>
    <row r="108" spans="1:9" x14ac:dyDescent="0.25">
      <c r="A108" s="6"/>
      <c r="B108" s="6">
        <v>3223</v>
      </c>
      <c r="C108" s="7"/>
      <c r="D108" s="96" t="s">
        <v>126</v>
      </c>
      <c r="E108" s="36">
        <v>30955.14</v>
      </c>
      <c r="F108" s="36"/>
      <c r="G108" s="36">
        <v>20344.78</v>
      </c>
      <c r="H108" s="173">
        <f t="shared" si="18"/>
        <v>65.72343074526556</v>
      </c>
      <c r="I108" s="179"/>
    </row>
    <row r="109" spans="1:9" x14ac:dyDescent="0.25">
      <c r="A109" s="6"/>
      <c r="B109" s="6">
        <v>3224</v>
      </c>
      <c r="C109" s="7"/>
      <c r="D109" s="96" t="s">
        <v>169</v>
      </c>
      <c r="E109" s="36">
        <v>332.27</v>
      </c>
      <c r="F109" s="36"/>
      <c r="G109" s="36"/>
      <c r="H109" s="173">
        <f t="shared" si="18"/>
        <v>0</v>
      </c>
      <c r="I109" s="179"/>
    </row>
    <row r="110" spans="1:9" x14ac:dyDescent="0.25">
      <c r="A110" s="6"/>
      <c r="B110" s="6">
        <v>3225</v>
      </c>
      <c r="C110" s="7"/>
      <c r="D110" s="96" t="s">
        <v>127</v>
      </c>
      <c r="E110" s="36">
        <v>960.95</v>
      </c>
      <c r="F110" s="36"/>
      <c r="G110" s="36"/>
      <c r="H110" s="173">
        <f t="shared" si="18"/>
        <v>0</v>
      </c>
      <c r="I110" s="179"/>
    </row>
    <row r="111" spans="1:9" ht="22.5" x14ac:dyDescent="0.25">
      <c r="A111" s="6"/>
      <c r="B111" s="6">
        <v>3227</v>
      </c>
      <c r="C111" s="7"/>
      <c r="D111" s="96" t="s">
        <v>161</v>
      </c>
      <c r="E111" s="36">
        <v>649.15</v>
      </c>
      <c r="F111" s="36"/>
      <c r="G111" s="36">
        <v>590.44000000000005</v>
      </c>
      <c r="H111" s="173">
        <f t="shared" si="18"/>
        <v>90.955865362396992</v>
      </c>
      <c r="I111" s="179"/>
    </row>
    <row r="112" spans="1:9" x14ac:dyDescent="0.25">
      <c r="A112" s="6"/>
      <c r="B112" s="15">
        <v>323</v>
      </c>
      <c r="C112" s="7"/>
      <c r="D112" s="96" t="s">
        <v>128</v>
      </c>
      <c r="E112" s="92">
        <f>SUM(E113:E120)</f>
        <v>32748.42</v>
      </c>
      <c r="F112" s="92"/>
      <c r="G112" s="92">
        <f t="shared" ref="G112" si="26">SUM(G113:G120)</f>
        <v>37551.919999999998</v>
      </c>
      <c r="H112" s="173">
        <f t="shared" si="18"/>
        <v>114.66788321390773</v>
      </c>
      <c r="I112" s="179"/>
    </row>
    <row r="113" spans="1:9" x14ac:dyDescent="0.25">
      <c r="A113" s="6"/>
      <c r="B113" s="6">
        <v>3231</v>
      </c>
      <c r="C113" s="7"/>
      <c r="D113" s="96" t="s">
        <v>129</v>
      </c>
      <c r="E113" s="36">
        <v>2660.72</v>
      </c>
      <c r="F113" s="36"/>
      <c r="G113" s="36">
        <v>2964.22</v>
      </c>
      <c r="H113" s="173">
        <f t="shared" si="18"/>
        <v>111.40668691181335</v>
      </c>
      <c r="I113" s="179"/>
    </row>
    <row r="114" spans="1:9" ht="22.5" x14ac:dyDescent="0.25">
      <c r="A114" s="6"/>
      <c r="B114" s="6">
        <v>3232</v>
      </c>
      <c r="C114" s="7"/>
      <c r="D114" s="96" t="s">
        <v>130</v>
      </c>
      <c r="E114" s="36">
        <v>0</v>
      </c>
      <c r="F114" s="36"/>
      <c r="G114" s="36">
        <v>3317.88</v>
      </c>
      <c r="H114" s="173" t="e">
        <f t="shared" si="18"/>
        <v>#DIV/0!</v>
      </c>
      <c r="I114" s="179"/>
    </row>
    <row r="115" spans="1:9" x14ac:dyDescent="0.25">
      <c r="A115" s="6"/>
      <c r="B115" s="6">
        <v>3233</v>
      </c>
      <c r="C115" s="7"/>
      <c r="D115" s="96" t="s">
        <v>131</v>
      </c>
      <c r="E115" s="36">
        <v>0</v>
      </c>
      <c r="F115" s="36"/>
      <c r="G115" s="36">
        <v>497.7</v>
      </c>
      <c r="H115" s="173" t="e">
        <f t="shared" si="18"/>
        <v>#DIV/0!</v>
      </c>
      <c r="I115" s="179"/>
    </row>
    <row r="116" spans="1:9" x14ac:dyDescent="0.25">
      <c r="A116" s="6"/>
      <c r="B116" s="6">
        <v>3234</v>
      </c>
      <c r="C116" s="7"/>
      <c r="D116" s="96" t="s">
        <v>132</v>
      </c>
      <c r="E116" s="36">
        <v>11798.3</v>
      </c>
      <c r="F116" s="36"/>
      <c r="G116" s="36">
        <v>9043.77</v>
      </c>
      <c r="H116" s="173">
        <f t="shared" si="18"/>
        <v>76.65316189620539</v>
      </c>
      <c r="I116" s="179"/>
    </row>
    <row r="117" spans="1:9" x14ac:dyDescent="0.25">
      <c r="A117" s="6"/>
      <c r="B117" s="6">
        <v>3236</v>
      </c>
      <c r="C117" s="7"/>
      <c r="D117" s="96" t="s">
        <v>142</v>
      </c>
      <c r="E117" s="36">
        <v>272.64999999999998</v>
      </c>
      <c r="F117" s="36"/>
      <c r="G117" s="36">
        <v>188.8</v>
      </c>
      <c r="H117" s="173">
        <f t="shared" si="18"/>
        <v>69.246286447826904</v>
      </c>
      <c r="I117" s="179"/>
    </row>
    <row r="118" spans="1:9" x14ac:dyDescent="0.25">
      <c r="A118" s="6"/>
      <c r="B118" s="6">
        <v>3237</v>
      </c>
      <c r="C118" s="7"/>
      <c r="D118" s="96" t="s">
        <v>133</v>
      </c>
      <c r="E118" s="36">
        <v>3368.41</v>
      </c>
      <c r="F118" s="36"/>
      <c r="G118" s="36">
        <v>1696.24</v>
      </c>
      <c r="H118" s="173">
        <f t="shared" si="18"/>
        <v>50.357290234858588</v>
      </c>
      <c r="I118" s="179"/>
    </row>
    <row r="119" spans="1:9" x14ac:dyDescent="0.25">
      <c r="A119" s="6"/>
      <c r="B119" s="6">
        <v>3238</v>
      </c>
      <c r="C119" s="7"/>
      <c r="D119" s="96" t="s">
        <v>134</v>
      </c>
      <c r="E119" s="36">
        <v>3118.56</v>
      </c>
      <c r="F119" s="36"/>
      <c r="G119" s="36">
        <v>2563.66</v>
      </c>
      <c r="H119" s="173">
        <f t="shared" si="18"/>
        <v>82.206531219537212</v>
      </c>
      <c r="I119" s="179"/>
    </row>
    <row r="120" spans="1:9" x14ac:dyDescent="0.25">
      <c r="A120" s="6"/>
      <c r="B120" s="6">
        <v>3239</v>
      </c>
      <c r="C120" s="7"/>
      <c r="D120" s="96" t="s">
        <v>135</v>
      </c>
      <c r="E120" s="36">
        <v>11529.78</v>
      </c>
      <c r="F120" s="36"/>
      <c r="G120" s="36">
        <v>17279.650000000001</v>
      </c>
      <c r="H120" s="173">
        <f t="shared" si="18"/>
        <v>149.86972865050333</v>
      </c>
      <c r="I120" s="179"/>
    </row>
    <row r="121" spans="1:9" ht="22.5" x14ac:dyDescent="0.25">
      <c r="A121" s="6"/>
      <c r="B121" s="15">
        <v>324</v>
      </c>
      <c r="C121" s="7"/>
      <c r="D121" s="96" t="s">
        <v>140</v>
      </c>
      <c r="E121" s="92">
        <f>E122</f>
        <v>0</v>
      </c>
      <c r="F121" s="92"/>
      <c r="G121" s="92">
        <f t="shared" ref="G121" si="27">G122</f>
        <v>0</v>
      </c>
      <c r="H121" s="173" t="e">
        <f t="shared" si="18"/>
        <v>#DIV/0!</v>
      </c>
      <c r="I121" s="179"/>
    </row>
    <row r="122" spans="1:9" ht="22.5" x14ac:dyDescent="0.25">
      <c r="A122" s="6"/>
      <c r="B122" s="6">
        <v>3241</v>
      </c>
      <c r="C122" s="7"/>
      <c r="D122" s="96" t="s">
        <v>140</v>
      </c>
      <c r="E122" s="36">
        <v>0</v>
      </c>
      <c r="F122" s="36"/>
      <c r="G122" s="36">
        <v>0</v>
      </c>
      <c r="H122" s="173" t="e">
        <f t="shared" si="18"/>
        <v>#DIV/0!</v>
      </c>
      <c r="I122" s="179"/>
    </row>
    <row r="123" spans="1:9" ht="22.5" x14ac:dyDescent="0.25">
      <c r="A123" s="6"/>
      <c r="B123" s="15">
        <v>329</v>
      </c>
      <c r="C123" s="7"/>
      <c r="D123" s="96" t="s">
        <v>136</v>
      </c>
      <c r="E123" s="92">
        <f>SUM(E124:E129)</f>
        <v>9321.1</v>
      </c>
      <c r="F123" s="92"/>
      <c r="G123" s="92">
        <f t="shared" ref="G123" si="28">SUM(G124:G129)</f>
        <v>10027.790000000001</v>
      </c>
      <c r="H123" s="173">
        <f t="shared" si="18"/>
        <v>107.58161590370237</v>
      </c>
      <c r="I123" s="179"/>
    </row>
    <row r="124" spans="1:9" ht="22.5" x14ac:dyDescent="0.25">
      <c r="A124" s="6"/>
      <c r="B124" s="6">
        <v>3291</v>
      </c>
      <c r="C124" s="7"/>
      <c r="D124" s="96" t="s">
        <v>216</v>
      </c>
      <c r="E124" s="36">
        <v>422.52</v>
      </c>
      <c r="F124" s="36"/>
      <c r="G124" s="36">
        <v>939.67</v>
      </c>
      <c r="H124" s="173">
        <f t="shared" si="18"/>
        <v>222.39657294329263</v>
      </c>
      <c r="I124" s="179"/>
    </row>
    <row r="125" spans="1:9" x14ac:dyDescent="0.25">
      <c r="A125" s="6"/>
      <c r="B125" s="6">
        <v>3292</v>
      </c>
      <c r="C125" s="7"/>
      <c r="D125" s="96" t="s">
        <v>137</v>
      </c>
      <c r="E125" s="36">
        <v>3395.15</v>
      </c>
      <c r="F125" s="36"/>
      <c r="G125" s="36">
        <v>3370.04</v>
      </c>
      <c r="H125" s="173">
        <f t="shared" si="18"/>
        <v>99.260415592830938</v>
      </c>
      <c r="I125" s="179"/>
    </row>
    <row r="126" spans="1:9" x14ac:dyDescent="0.25">
      <c r="A126" s="6"/>
      <c r="B126" s="6">
        <v>3293</v>
      </c>
      <c r="C126" s="7"/>
      <c r="D126" s="96" t="s">
        <v>138</v>
      </c>
      <c r="E126" s="36">
        <v>0</v>
      </c>
      <c r="F126" s="36"/>
      <c r="G126" s="36">
        <v>0</v>
      </c>
      <c r="H126" s="173" t="e">
        <f t="shared" si="18"/>
        <v>#DIV/0!</v>
      </c>
      <c r="I126" s="179"/>
    </row>
    <row r="127" spans="1:9" x14ac:dyDescent="0.25">
      <c r="A127" s="6"/>
      <c r="B127" s="6">
        <v>3294</v>
      </c>
      <c r="C127" s="7"/>
      <c r="D127" s="96" t="s">
        <v>139</v>
      </c>
      <c r="E127" s="36">
        <v>123.09</v>
      </c>
      <c r="F127" s="36"/>
      <c r="G127" s="36">
        <v>140</v>
      </c>
      <c r="H127" s="173">
        <f t="shared" si="18"/>
        <v>113.73791534649442</v>
      </c>
      <c r="I127" s="179"/>
    </row>
    <row r="128" spans="1:9" x14ac:dyDescent="0.25">
      <c r="A128" s="6"/>
      <c r="B128" s="6">
        <v>3295</v>
      </c>
      <c r="C128" s="7"/>
      <c r="D128" s="96" t="s">
        <v>144</v>
      </c>
      <c r="E128" s="36">
        <v>3963.21</v>
      </c>
      <c r="F128" s="36"/>
      <c r="G128" s="36">
        <v>3715.66</v>
      </c>
      <c r="H128" s="173">
        <f t="shared" si="18"/>
        <v>93.753800580842295</v>
      </c>
      <c r="I128" s="179"/>
    </row>
    <row r="129" spans="1:9" ht="22.5" x14ac:dyDescent="0.25">
      <c r="A129" s="6"/>
      <c r="B129" s="6">
        <v>3299</v>
      </c>
      <c r="C129" s="7"/>
      <c r="D129" s="96" t="s">
        <v>136</v>
      </c>
      <c r="E129" s="36">
        <v>1417.13</v>
      </c>
      <c r="F129" s="36"/>
      <c r="G129" s="36">
        <v>1862.42</v>
      </c>
      <c r="H129" s="173">
        <f t="shared" si="18"/>
        <v>131.42195846534895</v>
      </c>
      <c r="I129" s="179"/>
    </row>
    <row r="130" spans="1:9" x14ac:dyDescent="0.25">
      <c r="A130" s="21"/>
      <c r="B130" s="21">
        <v>34</v>
      </c>
      <c r="C130" s="22"/>
      <c r="D130" s="21" t="s">
        <v>21</v>
      </c>
      <c r="E130" s="39">
        <f>E131</f>
        <v>42.8</v>
      </c>
      <c r="F130" s="39">
        <f>'POSEBNI DIO'!E41+'POSEBNI DIO'!E259+'POSEBNI DIO'!E262+'POSEBNI DIO'!E265+'POSEBNI DIO'!E268</f>
        <v>77.5</v>
      </c>
      <c r="G130" s="39">
        <f t="shared" ref="G130" si="29">G131</f>
        <v>22.19</v>
      </c>
      <c r="H130" s="180">
        <f t="shared" si="18"/>
        <v>51.845794392523374</v>
      </c>
      <c r="I130" s="181">
        <f t="shared" si="19"/>
        <v>28.63225806451613</v>
      </c>
    </row>
    <row r="131" spans="1:9" x14ac:dyDescent="0.25">
      <c r="A131" s="25"/>
      <c r="B131" s="95">
        <v>343</v>
      </c>
      <c r="C131" s="7"/>
      <c r="D131" s="97" t="s">
        <v>145</v>
      </c>
      <c r="E131" s="62">
        <f>E132+E133</f>
        <v>42.8</v>
      </c>
      <c r="F131" s="62"/>
      <c r="G131" s="62">
        <f t="shared" ref="G131" si="30">G132+G133</f>
        <v>22.19</v>
      </c>
      <c r="H131" s="173">
        <f t="shared" si="18"/>
        <v>51.845794392523374</v>
      </c>
      <c r="I131" s="179"/>
    </row>
    <row r="132" spans="1:9" ht="22.5" x14ac:dyDescent="0.25">
      <c r="A132" s="25"/>
      <c r="B132" s="25">
        <v>3431</v>
      </c>
      <c r="C132" s="7"/>
      <c r="D132" s="96" t="s">
        <v>146</v>
      </c>
      <c r="E132" s="40">
        <v>0</v>
      </c>
      <c r="F132" s="40"/>
      <c r="G132" s="40">
        <v>0</v>
      </c>
      <c r="H132" s="173" t="e">
        <f t="shared" si="18"/>
        <v>#DIV/0!</v>
      </c>
      <c r="I132" s="179"/>
    </row>
    <row r="133" spans="1:9" x14ac:dyDescent="0.25">
      <c r="A133" s="25"/>
      <c r="B133" s="25">
        <v>3433</v>
      </c>
      <c r="C133" s="7"/>
      <c r="D133" s="97" t="s">
        <v>147</v>
      </c>
      <c r="E133" s="40">
        <v>42.8</v>
      </c>
      <c r="F133" s="40"/>
      <c r="G133" s="40">
        <v>22.19</v>
      </c>
      <c r="H133" s="173">
        <f t="shared" si="18"/>
        <v>51.845794392523374</v>
      </c>
      <c r="I133" s="179"/>
    </row>
    <row r="134" spans="1:9" ht="25.5" x14ac:dyDescent="0.25">
      <c r="A134" s="21"/>
      <c r="B134" s="21">
        <v>37</v>
      </c>
      <c r="C134" s="22"/>
      <c r="D134" s="23" t="s">
        <v>22</v>
      </c>
      <c r="E134" s="39">
        <f>E135</f>
        <v>198.5</v>
      </c>
      <c r="F134" s="39">
        <f>'POSEBNI DIO'!E137+'POSEBNI DIO'!E178+'POSEBNI DIO'!E222+'POSEBNI DIO'!E305+'POSEBNI DIO'!E323</f>
        <v>3500</v>
      </c>
      <c r="G134" s="39">
        <f t="shared" ref="G134" si="31">G135</f>
        <v>304.02999999999997</v>
      </c>
      <c r="H134" s="180">
        <f t="shared" si="18"/>
        <v>153.16372795969772</v>
      </c>
      <c r="I134" s="181">
        <f t="shared" si="19"/>
        <v>8.6865714285714279</v>
      </c>
    </row>
    <row r="135" spans="1:9" s="91" customFormat="1" ht="22.5" x14ac:dyDescent="0.25">
      <c r="A135" s="89"/>
      <c r="B135" s="15">
        <v>372</v>
      </c>
      <c r="C135" s="7"/>
      <c r="D135" s="96" t="s">
        <v>148</v>
      </c>
      <c r="E135" s="109">
        <f>E136+E137</f>
        <v>198.5</v>
      </c>
      <c r="F135" s="109"/>
      <c r="G135" s="109">
        <f t="shared" ref="G135" si="32">G136+G137</f>
        <v>304.02999999999997</v>
      </c>
      <c r="H135" s="173">
        <f t="shared" si="18"/>
        <v>153.16372795969772</v>
      </c>
      <c r="I135" s="179"/>
    </row>
    <row r="136" spans="1:9" s="91" customFormat="1" ht="22.5" x14ac:dyDescent="0.25">
      <c r="A136" s="89"/>
      <c r="B136" s="6">
        <v>3721</v>
      </c>
      <c r="C136" s="7"/>
      <c r="D136" s="96" t="s">
        <v>149</v>
      </c>
      <c r="E136" s="108">
        <v>198.5</v>
      </c>
      <c r="F136" s="108"/>
      <c r="G136" s="108">
        <v>93.6</v>
      </c>
      <c r="H136" s="173">
        <f t="shared" si="18"/>
        <v>47.153652392947102</v>
      </c>
      <c r="I136" s="179"/>
    </row>
    <row r="137" spans="1:9" s="91" customFormat="1" ht="22.5" x14ac:dyDescent="0.25">
      <c r="A137" s="89"/>
      <c r="B137" s="6">
        <v>3722</v>
      </c>
      <c r="C137" s="7"/>
      <c r="D137" s="96" t="s">
        <v>150</v>
      </c>
      <c r="E137" s="108">
        <v>0</v>
      </c>
      <c r="F137" s="108"/>
      <c r="G137" s="108">
        <v>210.43</v>
      </c>
      <c r="H137" s="173" t="e">
        <f t="shared" si="18"/>
        <v>#DIV/0!</v>
      </c>
      <c r="I137" s="179"/>
    </row>
    <row r="138" spans="1:9" x14ac:dyDescent="0.25">
      <c r="A138" s="21"/>
      <c r="B138" s="21">
        <v>38</v>
      </c>
      <c r="C138" s="22"/>
      <c r="D138" s="23" t="s">
        <v>92</v>
      </c>
      <c r="E138" s="39">
        <f>E139</f>
        <v>0</v>
      </c>
      <c r="F138" s="39">
        <f>'POSEBNI DIO'!E226</f>
        <v>2423.9499999999998</v>
      </c>
      <c r="G138" s="39">
        <f t="shared" ref="G138" si="33">G139</f>
        <v>2218.5100000000002</v>
      </c>
      <c r="H138" s="180" t="e">
        <f t="shared" si="18"/>
        <v>#DIV/0!</v>
      </c>
      <c r="I138" s="181">
        <f t="shared" si="19"/>
        <v>91.524577652179303</v>
      </c>
    </row>
    <row r="139" spans="1:9" s="91" customFormat="1" x14ac:dyDescent="0.25">
      <c r="A139" s="89"/>
      <c r="B139" s="139">
        <v>3812</v>
      </c>
      <c r="C139" s="138"/>
      <c r="D139" s="97" t="s">
        <v>159</v>
      </c>
      <c r="E139" s="108">
        <v>0</v>
      </c>
      <c r="F139" s="108"/>
      <c r="G139" s="108">
        <v>2218.5100000000002</v>
      </c>
      <c r="H139" s="173" t="e">
        <f t="shared" si="18"/>
        <v>#DIV/0!</v>
      </c>
      <c r="I139" s="179" t="e">
        <f t="shared" si="19"/>
        <v>#DIV/0!</v>
      </c>
    </row>
    <row r="140" spans="1:9" ht="25.5" x14ac:dyDescent="0.25">
      <c r="A140" s="28">
        <v>4</v>
      </c>
      <c r="B140" s="29"/>
      <c r="C140" s="29"/>
      <c r="D140" s="30" t="s">
        <v>8</v>
      </c>
      <c r="E140" s="41">
        <f>E141+E150</f>
        <v>293.55</v>
      </c>
      <c r="F140" s="41">
        <f t="shared" ref="F140:G140" si="34">F141+F150</f>
        <v>20092.189999999999</v>
      </c>
      <c r="G140" s="41">
        <f t="shared" si="34"/>
        <v>2283.91</v>
      </c>
      <c r="H140" s="173">
        <f t="shared" si="18"/>
        <v>778.03099982967115</v>
      </c>
      <c r="I140" s="179">
        <f t="shared" si="19"/>
        <v>11.367153107749829</v>
      </c>
    </row>
    <row r="141" spans="1:9" ht="25.5" x14ac:dyDescent="0.25">
      <c r="A141" s="20"/>
      <c r="B141" s="20">
        <v>42</v>
      </c>
      <c r="C141" s="20"/>
      <c r="D141" s="24" t="s">
        <v>17</v>
      </c>
      <c r="E141" s="39">
        <f>E142+E148</f>
        <v>293.55</v>
      </c>
      <c r="F141" s="39">
        <f>'POSEBNI DIO'!E48+'POSEBNI DIO'!E272+'POSEBNI DIO'!E274+'POSEBNI DIO'!E278+'POSEBNI DIO'!E282+'POSEBNI DIO'!E286+'POSEBNI DIO'!E291+'POSEBNI DIO'!E294+'POSEBNI DIO'!E333</f>
        <v>20092.189999999999</v>
      </c>
      <c r="G141" s="39">
        <f t="shared" ref="G141" si="35">G142+G148</f>
        <v>2283.91</v>
      </c>
      <c r="H141" s="180">
        <f t="shared" si="18"/>
        <v>778.03099982967115</v>
      </c>
      <c r="I141" s="181">
        <f t="shared" si="19"/>
        <v>11.367153107749829</v>
      </c>
    </row>
    <row r="142" spans="1:9" s="91" customFormat="1" x14ac:dyDescent="0.25">
      <c r="A142" s="94"/>
      <c r="B142" s="5">
        <v>422</v>
      </c>
      <c r="C142" s="7"/>
      <c r="D142" s="97" t="s">
        <v>151</v>
      </c>
      <c r="E142" s="109">
        <f t="shared" ref="E142:F142" si="36">SUM(E143:E147)</f>
        <v>293.55</v>
      </c>
      <c r="F142" s="109">
        <f t="shared" si="36"/>
        <v>0</v>
      </c>
      <c r="G142" s="109">
        <f>SUM(G143:G147)</f>
        <v>2283.91</v>
      </c>
      <c r="H142" s="173">
        <f t="shared" si="18"/>
        <v>778.03099982967115</v>
      </c>
      <c r="I142" s="179"/>
    </row>
    <row r="143" spans="1:9" s="91" customFormat="1" x14ac:dyDescent="0.25">
      <c r="A143" s="94"/>
      <c r="B143" s="8">
        <v>4221</v>
      </c>
      <c r="C143" s="7"/>
      <c r="D143" s="97" t="s">
        <v>152</v>
      </c>
      <c r="E143" s="108">
        <v>293.55</v>
      </c>
      <c r="F143" s="90"/>
      <c r="G143" s="108">
        <v>1107.75</v>
      </c>
      <c r="H143" s="173">
        <f t="shared" si="18"/>
        <v>377.36331119059787</v>
      </c>
      <c r="I143" s="179"/>
    </row>
    <row r="144" spans="1:9" s="91" customFormat="1" x14ac:dyDescent="0.25">
      <c r="A144" s="94"/>
      <c r="B144" s="8">
        <v>4223</v>
      </c>
      <c r="C144" s="7"/>
      <c r="D144" s="98" t="s">
        <v>154</v>
      </c>
      <c r="E144" s="108">
        <v>0</v>
      </c>
      <c r="F144" s="90"/>
      <c r="G144" s="108"/>
      <c r="H144" s="173" t="e">
        <f t="shared" si="18"/>
        <v>#DIV/0!</v>
      </c>
      <c r="I144" s="179"/>
    </row>
    <row r="145" spans="1:9" s="91" customFormat="1" x14ac:dyDescent="0.25">
      <c r="A145" s="94"/>
      <c r="B145" s="8">
        <v>4225</v>
      </c>
      <c r="C145" s="7"/>
      <c r="D145" s="98" t="s">
        <v>225</v>
      </c>
      <c r="E145" s="108">
        <v>0</v>
      </c>
      <c r="F145" s="90"/>
      <c r="G145" s="108"/>
      <c r="H145" s="173"/>
      <c r="I145" s="179"/>
    </row>
    <row r="146" spans="1:9" s="91" customFormat="1" x14ac:dyDescent="0.25">
      <c r="A146" s="94"/>
      <c r="B146" s="8">
        <v>4226</v>
      </c>
      <c r="C146" s="7"/>
      <c r="D146" s="98" t="s">
        <v>226</v>
      </c>
      <c r="E146" s="108">
        <v>0</v>
      </c>
      <c r="F146" s="90"/>
      <c r="G146" s="108">
        <v>746.26</v>
      </c>
      <c r="H146" s="173"/>
      <c r="I146" s="179"/>
    </row>
    <row r="147" spans="1:9" s="91" customFormat="1" ht="22.5" x14ac:dyDescent="0.25">
      <c r="A147" s="94"/>
      <c r="B147" s="8">
        <v>4227</v>
      </c>
      <c r="C147" s="7"/>
      <c r="D147" s="96" t="s">
        <v>153</v>
      </c>
      <c r="E147" s="108">
        <v>0</v>
      </c>
      <c r="F147" s="90"/>
      <c r="G147" s="108">
        <v>429.9</v>
      </c>
      <c r="H147" s="173" t="e">
        <f t="shared" si="18"/>
        <v>#DIV/0!</v>
      </c>
      <c r="I147" s="179"/>
    </row>
    <row r="148" spans="1:9" s="91" customFormat="1" ht="22.5" x14ac:dyDescent="0.25">
      <c r="A148" s="94"/>
      <c r="B148" s="5">
        <v>424</v>
      </c>
      <c r="C148" s="7"/>
      <c r="D148" s="96" t="s">
        <v>155</v>
      </c>
      <c r="E148" s="109">
        <f>E149</f>
        <v>0</v>
      </c>
      <c r="F148" s="109">
        <f t="shared" ref="F148:G148" si="37">F149</f>
        <v>0</v>
      </c>
      <c r="G148" s="109">
        <f t="shared" si="37"/>
        <v>0</v>
      </c>
      <c r="H148" s="173" t="e">
        <f t="shared" si="18"/>
        <v>#DIV/0!</v>
      </c>
      <c r="I148" s="179"/>
    </row>
    <row r="149" spans="1:9" s="91" customFormat="1" x14ac:dyDescent="0.25">
      <c r="A149" s="94"/>
      <c r="B149" s="8">
        <v>4241</v>
      </c>
      <c r="C149" s="7"/>
      <c r="D149" s="97" t="s">
        <v>156</v>
      </c>
      <c r="E149" s="108">
        <v>0</v>
      </c>
      <c r="F149" s="90"/>
      <c r="G149" s="108"/>
      <c r="H149" s="173" t="e">
        <f t="shared" si="18"/>
        <v>#DIV/0!</v>
      </c>
      <c r="I149" s="179"/>
    </row>
    <row r="150" spans="1:9" ht="25.5" x14ac:dyDescent="0.25">
      <c r="A150" s="20"/>
      <c r="B150" s="20">
        <v>45</v>
      </c>
      <c r="C150" s="20"/>
      <c r="D150" s="24" t="s">
        <v>23</v>
      </c>
      <c r="E150" s="39">
        <f>E151+E153</f>
        <v>0</v>
      </c>
      <c r="F150" s="39">
        <f>'POSEBNI DIO'!E55+'POSEBNI DIO'!E69</f>
        <v>0</v>
      </c>
      <c r="G150" s="39">
        <f t="shared" ref="G150" si="38">G151+G153</f>
        <v>0</v>
      </c>
      <c r="H150" s="180" t="e">
        <f t="shared" si="18"/>
        <v>#DIV/0!</v>
      </c>
      <c r="I150" s="181" t="e">
        <f t="shared" si="19"/>
        <v>#DIV/0!</v>
      </c>
    </row>
    <row r="151" spans="1:9" ht="22.5" x14ac:dyDescent="0.25">
      <c r="A151" s="8"/>
      <c r="B151" s="5">
        <v>451</v>
      </c>
      <c r="C151" s="7"/>
      <c r="D151" s="96" t="s">
        <v>157</v>
      </c>
      <c r="E151" s="92">
        <f>E152</f>
        <v>0</v>
      </c>
      <c r="F151" s="92">
        <f t="shared" ref="F151:G151" si="39">F152</f>
        <v>0</v>
      </c>
      <c r="G151" s="92">
        <f t="shared" si="39"/>
        <v>0</v>
      </c>
      <c r="H151" s="173" t="e">
        <f t="shared" si="18"/>
        <v>#DIV/0!</v>
      </c>
      <c r="I151" s="179"/>
    </row>
    <row r="152" spans="1:9" ht="22.5" x14ac:dyDescent="0.25">
      <c r="A152" s="8"/>
      <c r="B152" s="8">
        <v>4511</v>
      </c>
      <c r="C152" s="7"/>
      <c r="D152" s="96" t="s">
        <v>157</v>
      </c>
      <c r="E152" s="36">
        <v>0</v>
      </c>
      <c r="F152" s="36"/>
      <c r="G152" s="36"/>
      <c r="H152" s="173" t="e">
        <f t="shared" si="18"/>
        <v>#DIV/0!</v>
      </c>
      <c r="I152" s="179"/>
    </row>
    <row r="153" spans="1:9" ht="22.5" x14ac:dyDescent="0.25">
      <c r="A153" s="8"/>
      <c r="B153" s="5">
        <v>452</v>
      </c>
      <c r="C153" s="7"/>
      <c r="D153" s="96" t="s">
        <v>227</v>
      </c>
      <c r="E153" s="92">
        <f>E154</f>
        <v>0</v>
      </c>
      <c r="F153" s="92">
        <f t="shared" ref="F153:G153" si="40">F154</f>
        <v>0</v>
      </c>
      <c r="G153" s="92">
        <f t="shared" si="40"/>
        <v>0</v>
      </c>
      <c r="H153" s="173" t="e">
        <f t="shared" ref="H153" si="41">(G153/E153)*100</f>
        <v>#DIV/0!</v>
      </c>
      <c r="I153" s="179"/>
    </row>
    <row r="154" spans="1:9" ht="22.5" x14ac:dyDescent="0.25">
      <c r="A154" s="8"/>
      <c r="B154" s="8">
        <v>4521</v>
      </c>
      <c r="C154" s="7"/>
      <c r="D154" s="96" t="s">
        <v>227</v>
      </c>
      <c r="E154" s="36">
        <v>0</v>
      </c>
      <c r="F154" s="36"/>
      <c r="G154" s="36"/>
      <c r="H154" s="173" t="e">
        <f t="shared" ref="H154" si="42">(G154/E154)*100</f>
        <v>#DIV/0!</v>
      </c>
      <c r="I154" s="179"/>
    </row>
  </sheetData>
  <mergeCells count="15">
    <mergeCell ref="A89:D89"/>
    <mergeCell ref="A7:H7"/>
    <mergeCell ref="A86:H86"/>
    <mergeCell ref="A75:D75"/>
    <mergeCell ref="A9:D9"/>
    <mergeCell ref="A61:D61"/>
    <mergeCell ref="A74:D74"/>
    <mergeCell ref="A88:D88"/>
    <mergeCell ref="A10:D10"/>
    <mergeCell ref="A62:D62"/>
    <mergeCell ref="A1:I1"/>
    <mergeCell ref="A3:H3"/>
    <mergeCell ref="A5:H5"/>
    <mergeCell ref="A59:H59"/>
    <mergeCell ref="A72:H72"/>
  </mergeCells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4" zoomScale="140" zoomScaleNormal="140" workbookViewId="0">
      <selection activeCell="G6" sqref="G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7.5703125" customWidth="1"/>
    <col min="4" max="4" width="24.28515625" customWidth="1"/>
    <col min="5" max="7" width="25.28515625" customWidth="1"/>
    <col min="8" max="8" width="12.85546875" customWidth="1"/>
  </cols>
  <sheetData>
    <row r="1" spans="1:10" ht="42" customHeight="1" x14ac:dyDescent="0.25">
      <c r="A1" s="231" t="s">
        <v>231</v>
      </c>
      <c r="B1" s="231"/>
      <c r="C1" s="231"/>
      <c r="D1" s="231"/>
      <c r="E1" s="231"/>
      <c r="F1" s="231"/>
      <c r="G1" s="231"/>
      <c r="H1" s="231"/>
      <c r="I1" s="206"/>
      <c r="J1" s="206"/>
    </row>
    <row r="2" spans="1:10" ht="18" customHeight="1" x14ac:dyDescent="0.25">
      <c r="A2" s="14"/>
      <c r="B2" s="14"/>
      <c r="C2" s="14"/>
      <c r="D2" s="14"/>
      <c r="E2" s="14"/>
      <c r="F2" s="14"/>
      <c r="G2" s="14"/>
    </row>
    <row r="3" spans="1:10" ht="15.75" x14ac:dyDescent="0.25">
      <c r="A3" s="233" t="s">
        <v>13</v>
      </c>
      <c r="B3" s="233"/>
      <c r="C3" s="233"/>
      <c r="D3" s="233"/>
      <c r="E3" s="233"/>
      <c r="F3" s="233"/>
      <c r="G3" s="234"/>
    </row>
    <row r="4" spans="1:10" ht="18" x14ac:dyDescent="0.25">
      <c r="A4" s="14"/>
      <c r="B4" s="14"/>
      <c r="C4" s="14"/>
      <c r="D4" s="14"/>
      <c r="E4" s="14"/>
      <c r="F4" s="14"/>
      <c r="G4" s="3"/>
    </row>
    <row r="5" spans="1:10" ht="18" customHeight="1" x14ac:dyDescent="0.25">
      <c r="A5" s="233" t="s">
        <v>209</v>
      </c>
      <c r="B5" s="235"/>
      <c r="C5" s="235"/>
      <c r="D5" s="235"/>
      <c r="E5" s="235"/>
      <c r="F5" s="235"/>
      <c r="G5" s="235"/>
    </row>
    <row r="6" spans="1:10" ht="18" x14ac:dyDescent="0.25">
      <c r="A6" s="14"/>
      <c r="B6" s="14"/>
      <c r="C6" s="14"/>
      <c r="D6" s="14"/>
      <c r="E6" s="14"/>
      <c r="F6" s="14"/>
      <c r="G6" s="3"/>
    </row>
    <row r="7" spans="1:10" ht="15.75" x14ac:dyDescent="0.25">
      <c r="A7" s="233" t="s">
        <v>173</v>
      </c>
      <c r="B7" s="236"/>
      <c r="C7" s="236"/>
      <c r="D7" s="236"/>
      <c r="E7" s="236"/>
      <c r="F7" s="236"/>
      <c r="G7" s="236"/>
    </row>
    <row r="8" spans="1:10" ht="18" x14ac:dyDescent="0.25">
      <c r="A8" s="14"/>
      <c r="B8" s="14"/>
      <c r="C8" s="14"/>
      <c r="D8" s="14"/>
      <c r="E8" s="42"/>
      <c r="F8" s="42"/>
      <c r="G8" s="42"/>
      <c r="H8" s="31"/>
    </row>
    <row r="9" spans="1:10" ht="25.5" x14ac:dyDescent="0.25">
      <c r="A9" s="240" t="s">
        <v>10</v>
      </c>
      <c r="B9" s="241"/>
      <c r="C9" s="242"/>
      <c r="D9" s="162" t="s">
        <v>235</v>
      </c>
      <c r="E9" s="13" t="s">
        <v>232</v>
      </c>
      <c r="F9" s="162" t="s">
        <v>234</v>
      </c>
      <c r="G9" s="13" t="s">
        <v>189</v>
      </c>
      <c r="H9" s="13" t="s">
        <v>190</v>
      </c>
    </row>
    <row r="10" spans="1:10" x14ac:dyDescent="0.25">
      <c r="A10" s="243">
        <v>1</v>
      </c>
      <c r="B10" s="244"/>
      <c r="C10" s="245"/>
      <c r="D10" s="165">
        <v>2</v>
      </c>
      <c r="E10" s="81">
        <v>3</v>
      </c>
      <c r="F10" s="165">
        <v>4</v>
      </c>
      <c r="G10" s="164" t="s">
        <v>207</v>
      </c>
      <c r="H10" s="164" t="s">
        <v>208</v>
      </c>
    </row>
    <row r="11" spans="1:10" s="141" customFormat="1" ht="25.5" customHeight="1" x14ac:dyDescent="0.25">
      <c r="A11" s="255" t="s">
        <v>212</v>
      </c>
      <c r="B11" s="256"/>
      <c r="C11" s="257"/>
      <c r="D11" s="140">
        <f>SUM(D12:D19)</f>
        <v>1982517.6099999999</v>
      </c>
      <c r="E11" s="140">
        <f>SUM(E12:E19)</f>
        <v>2765356.57</v>
      </c>
      <c r="F11" s="140">
        <f>SUM(F12:F19)</f>
        <v>2183820.58</v>
      </c>
      <c r="G11" s="140">
        <f>F11/D11*100</f>
        <v>110.15390577035026</v>
      </c>
      <c r="H11" s="140">
        <f>F11/E11*100</f>
        <v>78.970668871103314</v>
      </c>
    </row>
    <row r="12" spans="1:10" x14ac:dyDescent="0.25">
      <c r="A12" s="246" t="s">
        <v>174</v>
      </c>
      <c r="B12" s="247"/>
      <c r="C12" s="248"/>
      <c r="D12" s="36">
        <v>284277.73</v>
      </c>
      <c r="E12" s="36">
        <f>' Račun prihoda i rashoda'!F50</f>
        <v>290243.37</v>
      </c>
      <c r="F12" s="36">
        <f>' Račun prihoda i rashoda'!G50</f>
        <v>281738.62</v>
      </c>
      <c r="G12" s="140">
        <f t="shared" ref="G12:G19" si="0">F12/D12*100</f>
        <v>99.10682064331948</v>
      </c>
      <c r="H12" s="140">
        <f t="shared" ref="H12:H19" si="1">F12/E12*100</f>
        <v>97.069786641465754</v>
      </c>
    </row>
    <row r="13" spans="1:10" x14ac:dyDescent="0.25">
      <c r="A13" s="246" t="s">
        <v>175</v>
      </c>
      <c r="B13" s="247"/>
      <c r="C13" s="248"/>
      <c r="D13" s="36">
        <v>2268.3200000000002</v>
      </c>
      <c r="E13" s="36">
        <f>' Račun prihoda i rashoda'!F41+' Račun prihoda i rashoda'!F55</f>
        <v>5055</v>
      </c>
      <c r="F13" s="36">
        <f>' Račun prihoda i rashoda'!G41+' Račun prihoda i rashoda'!G55</f>
        <v>3295.06</v>
      </c>
      <c r="G13" s="140">
        <f t="shared" si="0"/>
        <v>145.26433660153768</v>
      </c>
      <c r="H13" s="140">
        <f t="shared" si="1"/>
        <v>65.184174085064299</v>
      </c>
    </row>
    <row r="14" spans="1:10" x14ac:dyDescent="0.25">
      <c r="A14" s="246" t="s">
        <v>176</v>
      </c>
      <c r="B14" s="247"/>
      <c r="C14" s="248"/>
      <c r="D14" s="36">
        <v>49869.46</v>
      </c>
      <c r="E14" s="36">
        <f>' Račun prihoda i rashoda'!F37</f>
        <v>91450</v>
      </c>
      <c r="F14" s="36">
        <f>' Račun prihoda i rashoda'!G37</f>
        <v>56838.21</v>
      </c>
      <c r="G14" s="140">
        <f t="shared" si="0"/>
        <v>113.97398327553576</v>
      </c>
      <c r="H14" s="140">
        <f t="shared" si="1"/>
        <v>62.15222525970475</v>
      </c>
    </row>
    <row r="15" spans="1:10" x14ac:dyDescent="0.25">
      <c r="A15" s="246" t="s">
        <v>185</v>
      </c>
      <c r="B15" s="247"/>
      <c r="C15" s="248"/>
      <c r="D15" s="36">
        <v>0</v>
      </c>
      <c r="E15" s="36">
        <v>0</v>
      </c>
      <c r="F15" s="36">
        <f>' Račun prihoda i rashoda'!G14</f>
        <v>0</v>
      </c>
      <c r="G15" s="140" t="e">
        <f t="shared" si="0"/>
        <v>#DIV/0!</v>
      </c>
      <c r="H15" s="140" t="e">
        <f t="shared" si="1"/>
        <v>#DIV/0!</v>
      </c>
    </row>
    <row r="16" spans="1:10" x14ac:dyDescent="0.25">
      <c r="A16" s="246" t="s">
        <v>177</v>
      </c>
      <c r="B16" s="247"/>
      <c r="C16" s="248"/>
      <c r="D16" s="36">
        <v>5187.3599999999997</v>
      </c>
      <c r="E16" s="36">
        <f>' Račun prihoda i rashoda'!F26</f>
        <v>71928.399999999994</v>
      </c>
      <c r="F16" s="36">
        <f>' Račun prihoda i rashoda'!G26</f>
        <v>6426.17</v>
      </c>
      <c r="G16" s="140">
        <f t="shared" si="0"/>
        <v>123.88131920668704</v>
      </c>
      <c r="H16" s="140">
        <f t="shared" si="1"/>
        <v>8.9341205977054976</v>
      </c>
    </row>
    <row r="17" spans="1:8" x14ac:dyDescent="0.25">
      <c r="A17" s="246" t="s">
        <v>247</v>
      </c>
      <c r="B17" s="247"/>
      <c r="C17" s="248"/>
      <c r="D17" s="36">
        <v>0</v>
      </c>
      <c r="E17" s="36">
        <f>' Račun prihoda i rashoda'!F21</f>
        <v>14483.08</v>
      </c>
      <c r="F17" s="36">
        <f>' Račun prihoda i rashoda'!G21</f>
        <v>157.79</v>
      </c>
      <c r="G17" s="140" t="e">
        <f t="shared" si="0"/>
        <v>#DIV/0!</v>
      </c>
      <c r="H17" s="140">
        <f t="shared" si="1"/>
        <v>1.0894782049122147</v>
      </c>
    </row>
    <row r="18" spans="1:8" x14ac:dyDescent="0.25">
      <c r="A18" s="246" t="s">
        <v>178</v>
      </c>
      <c r="B18" s="247"/>
      <c r="C18" s="248"/>
      <c r="D18" s="36">
        <v>1640534.74</v>
      </c>
      <c r="E18" s="36">
        <f>' Račun prihoda i rashoda'!F17</f>
        <v>2291746.7199999997</v>
      </c>
      <c r="F18" s="36">
        <f>' Račun prihoda i rashoda'!G17</f>
        <v>1835314.73</v>
      </c>
      <c r="G18" s="140">
        <f t="shared" si="0"/>
        <v>111.87295735047951</v>
      </c>
      <c r="H18" s="140">
        <f t="shared" si="1"/>
        <v>80.083663433802158</v>
      </c>
    </row>
    <row r="19" spans="1:8" x14ac:dyDescent="0.25">
      <c r="A19" s="246" t="s">
        <v>179</v>
      </c>
      <c r="B19" s="247"/>
      <c r="C19" s="248"/>
      <c r="D19" s="36">
        <v>380</v>
      </c>
      <c r="E19" s="36">
        <f>' Račun prihoda i rashoda'!F45</f>
        <v>450</v>
      </c>
      <c r="F19" s="36">
        <f>' Račun prihoda i rashoda'!G45</f>
        <v>50</v>
      </c>
      <c r="G19" s="140">
        <f t="shared" si="0"/>
        <v>13.157894736842104</v>
      </c>
      <c r="H19" s="140">
        <f t="shared" si="1"/>
        <v>11.111111111111111</v>
      </c>
    </row>
    <row r="22" spans="1:8" ht="15.75" x14ac:dyDescent="0.25">
      <c r="A22" s="233" t="s">
        <v>180</v>
      </c>
      <c r="B22" s="236"/>
      <c r="C22" s="236"/>
      <c r="D22" s="236"/>
      <c r="E22" s="236"/>
      <c r="F22" s="236"/>
      <c r="G22" s="236"/>
    </row>
    <row r="23" spans="1:8" ht="18" x14ac:dyDescent="0.25">
      <c r="A23" s="14"/>
      <c r="B23" s="14"/>
      <c r="C23" s="14"/>
      <c r="D23" s="14"/>
      <c r="E23" s="42"/>
      <c r="F23" s="42"/>
      <c r="G23" s="42"/>
      <c r="H23" s="31"/>
    </row>
    <row r="24" spans="1:8" ht="25.5" x14ac:dyDescent="0.25">
      <c r="A24" s="240" t="s">
        <v>10</v>
      </c>
      <c r="B24" s="241"/>
      <c r="C24" s="242"/>
      <c r="D24" s="162" t="s">
        <v>235</v>
      </c>
      <c r="E24" s="13" t="s">
        <v>232</v>
      </c>
      <c r="F24" s="162" t="s">
        <v>234</v>
      </c>
      <c r="G24" s="13" t="s">
        <v>189</v>
      </c>
      <c r="H24" s="13" t="s">
        <v>190</v>
      </c>
    </row>
    <row r="25" spans="1:8" x14ac:dyDescent="0.25">
      <c r="A25" s="243">
        <v>1</v>
      </c>
      <c r="B25" s="244"/>
      <c r="C25" s="245"/>
      <c r="D25" s="165">
        <v>2</v>
      </c>
      <c r="E25" s="81">
        <v>3</v>
      </c>
      <c r="F25" s="165">
        <v>4</v>
      </c>
      <c r="G25" s="164" t="s">
        <v>207</v>
      </c>
      <c r="H25" s="164" t="s">
        <v>208</v>
      </c>
    </row>
    <row r="26" spans="1:8" ht="15.75" customHeight="1" x14ac:dyDescent="0.25">
      <c r="A26" s="252" t="s">
        <v>213</v>
      </c>
      <c r="B26" s="253"/>
      <c r="C26" s="254"/>
      <c r="D26" s="41">
        <f t="shared" ref="D26" si="2">SUM(D27:D40)</f>
        <v>1974974.1199999999</v>
      </c>
      <c r="E26" s="41">
        <f>SUM(E27:E40)</f>
        <v>2740261.5799999996</v>
      </c>
      <c r="F26" s="41">
        <f>SUM(F27:F40)</f>
        <v>2437435.19</v>
      </c>
      <c r="G26" s="140">
        <f>F26/D26*100</f>
        <v>123.41605721901814</v>
      </c>
      <c r="H26" s="140">
        <f>F26/E26*100</f>
        <v>88.948996978602324</v>
      </c>
    </row>
    <row r="27" spans="1:8" s="142" customFormat="1" ht="15.75" customHeight="1" x14ac:dyDescent="0.25">
      <c r="A27" s="246" t="s">
        <v>174</v>
      </c>
      <c r="B27" s="247"/>
      <c r="C27" s="248"/>
      <c r="D27" s="40">
        <v>271861.95</v>
      </c>
      <c r="E27" s="40">
        <f>'POSEBNI DIO'!E11+'POSEBNI DIO'!E39+'POSEBNI DIO'!E46+'POSEBNI DIO'!E53+'POSEBNI DIO'!E61+'POSEBNI DIO'!E67+'POSEBNI DIO'!E299+'POSEBNI DIO'!E308+'POSEBNI DIO'!E321+'POSEBNI DIO'!E327+'POSEBNI DIO'!E347+'POSEBNI DIO'!E387</f>
        <v>263060</v>
      </c>
      <c r="F27" s="40">
        <f>'POSEBNI DIO'!F11+'POSEBNI DIO'!F39+'POSEBNI DIO'!F46+'POSEBNI DIO'!F53+'POSEBNI DIO'!F61+'POSEBNI DIO'!F67+'POSEBNI DIO'!F299+'POSEBNI DIO'!F308+'POSEBNI DIO'!F321+'POSEBNI DIO'!F327+'POSEBNI DIO'!F347+'POSEBNI DIO'!F387</f>
        <v>295676.42000000004</v>
      </c>
      <c r="G27" s="140">
        <f t="shared" ref="G27:G40" si="3">F27/D27*100</f>
        <v>108.75976575611264</v>
      </c>
      <c r="H27" s="140">
        <f t="shared" ref="H27:H40" si="4">F27/E27*100</f>
        <v>112.39885197293395</v>
      </c>
    </row>
    <row r="28" spans="1:8" s="141" customFormat="1" x14ac:dyDescent="0.25">
      <c r="A28" s="246" t="s">
        <v>175</v>
      </c>
      <c r="B28" s="247"/>
      <c r="C28" s="248"/>
      <c r="D28" s="36">
        <v>155.51</v>
      </c>
      <c r="E28" s="36">
        <f>'POSEBNI DIO'!E72+'POSEBNI DIO'!E128+'POSEBNI DIO'!E258+'POSEBNI DIO'!E271</f>
        <v>5055</v>
      </c>
      <c r="F28" s="36">
        <f>'POSEBNI DIO'!F72+'POSEBNI DIO'!F128+'POSEBNI DIO'!F258+'POSEBNI DIO'!F271</f>
        <v>0</v>
      </c>
      <c r="G28" s="140">
        <f t="shared" si="3"/>
        <v>0</v>
      </c>
      <c r="H28" s="140">
        <f t="shared" si="4"/>
        <v>0</v>
      </c>
    </row>
    <row r="29" spans="1:8" s="141" customFormat="1" x14ac:dyDescent="0.25">
      <c r="A29" s="246" t="s">
        <v>181</v>
      </c>
      <c r="B29" s="247"/>
      <c r="C29" s="248"/>
      <c r="D29" s="36">
        <v>992.22</v>
      </c>
      <c r="E29" s="36">
        <f>'POSEBNI DIO'!E75+'POSEBNI DIO'!E138+'POSEBNI DIO'!E261+'POSEBNI DIO'!E273</f>
        <v>4171.99</v>
      </c>
      <c r="F29" s="36">
        <f>'POSEBNI DIO'!F75+'POSEBNI DIO'!F138+'POSEBNI DIO'!F261+'POSEBNI DIO'!F273</f>
        <v>1196.99</v>
      </c>
      <c r="G29" s="140">
        <f t="shared" si="3"/>
        <v>120.63756021849991</v>
      </c>
      <c r="H29" s="140">
        <f t="shared" si="4"/>
        <v>28.691104245216316</v>
      </c>
    </row>
    <row r="30" spans="1:8" s="141" customFormat="1" x14ac:dyDescent="0.25">
      <c r="A30" s="246" t="s">
        <v>176</v>
      </c>
      <c r="B30" s="247"/>
      <c r="C30" s="248"/>
      <c r="D30" s="36">
        <v>33018.239999999998</v>
      </c>
      <c r="E30" s="36">
        <f>'POSEBNI DIO'!E156+'POSEBNI DIO'!E264+'POSEBNI DIO'!E277</f>
        <v>91450</v>
      </c>
      <c r="F30" s="36">
        <f>'POSEBNI DIO'!F156+'POSEBNI DIO'!F264+'POSEBNI DIO'!F277</f>
        <v>34360.39</v>
      </c>
      <c r="G30" s="140">
        <f t="shared" si="3"/>
        <v>104.06487444515517</v>
      </c>
      <c r="H30" s="140">
        <f t="shared" si="4"/>
        <v>37.572870420995081</v>
      </c>
    </row>
    <row r="31" spans="1:8" s="141" customFormat="1" x14ac:dyDescent="0.25">
      <c r="A31" s="249" t="s">
        <v>182</v>
      </c>
      <c r="B31" s="250"/>
      <c r="C31" s="251"/>
      <c r="D31" s="36">
        <v>293.55</v>
      </c>
      <c r="E31" s="36">
        <f>'POSEBNI DIO'!E180+'POSEBNI DIO'!E267+'POSEBNI DIO'!E281</f>
        <v>11404.31</v>
      </c>
      <c r="F31" s="36">
        <f>'POSEBNI DIO'!F180+'POSEBNI DIO'!F267+'POSEBNI DIO'!F281</f>
        <v>6876.7800000000007</v>
      </c>
      <c r="G31" s="140">
        <f t="shared" si="3"/>
        <v>2342.626469085335</v>
      </c>
      <c r="H31" s="140">
        <f t="shared" si="4"/>
        <v>60.29983401012425</v>
      </c>
    </row>
    <row r="32" spans="1:8" s="141" customFormat="1" x14ac:dyDescent="0.25">
      <c r="A32" s="246" t="s">
        <v>185</v>
      </c>
      <c r="B32" s="247"/>
      <c r="C32" s="248"/>
      <c r="D32" s="36">
        <v>0</v>
      </c>
      <c r="E32" s="36">
        <f>'POSEBNI DIO'!E85</f>
        <v>0</v>
      </c>
      <c r="F32" s="36">
        <f>'POSEBNI DIO'!F85</f>
        <v>0</v>
      </c>
      <c r="G32" s="140" t="e">
        <f t="shared" si="3"/>
        <v>#DIV/0!</v>
      </c>
      <c r="H32" s="140" t="e">
        <f t="shared" si="4"/>
        <v>#DIV/0!</v>
      </c>
    </row>
    <row r="33" spans="1:8" s="141" customFormat="1" x14ac:dyDescent="0.25">
      <c r="A33" s="246" t="s">
        <v>183</v>
      </c>
      <c r="B33" s="247"/>
      <c r="C33" s="248"/>
      <c r="D33" s="36">
        <v>11619.5</v>
      </c>
      <c r="E33" s="36">
        <f>'POSEBNI DIO'!E95</f>
        <v>0</v>
      </c>
      <c r="F33" s="36">
        <f>'POSEBNI DIO'!F95</f>
        <v>0</v>
      </c>
      <c r="G33" s="140">
        <f t="shared" si="3"/>
        <v>0</v>
      </c>
      <c r="H33" s="140" t="e">
        <f t="shared" si="4"/>
        <v>#DIV/0!</v>
      </c>
    </row>
    <row r="34" spans="1:8" s="141" customFormat="1" x14ac:dyDescent="0.25">
      <c r="A34" s="246" t="s">
        <v>177</v>
      </c>
      <c r="B34" s="247"/>
      <c r="C34" s="248"/>
      <c r="D34" s="36">
        <v>0</v>
      </c>
      <c r="E34" s="36">
        <f>'POSEBNI DIO'!E78+'POSEBNI DIO'!E187+'POSEBNI DIO'!E341+'POSEBNI DIO'!E373</f>
        <v>70367</v>
      </c>
      <c r="F34" s="36">
        <f>'POSEBNI DIO'!F78+'POSEBNI DIO'!F187+'POSEBNI DIO'!F341+'POSEBNI DIO'!F373</f>
        <v>4344.49</v>
      </c>
      <c r="G34" s="140" t="e">
        <f t="shared" si="3"/>
        <v>#DIV/0!</v>
      </c>
      <c r="H34" s="140">
        <f t="shared" si="4"/>
        <v>6.1740446516122613</v>
      </c>
    </row>
    <row r="35" spans="1:8" s="141" customFormat="1" x14ac:dyDescent="0.25">
      <c r="A35" s="246" t="s">
        <v>229</v>
      </c>
      <c r="B35" s="247"/>
      <c r="C35" s="248"/>
      <c r="D35" s="36">
        <v>0</v>
      </c>
      <c r="E35" s="36">
        <f>'POSEBNI DIO'!E197</f>
        <v>1134.77</v>
      </c>
      <c r="F35" s="36">
        <f>'POSEBNI DIO'!F197</f>
        <v>1048.69</v>
      </c>
      <c r="G35" s="140" t="e">
        <f t="shared" si="3"/>
        <v>#DIV/0!</v>
      </c>
      <c r="H35" s="140">
        <f t="shared" si="4"/>
        <v>92.414321844955367</v>
      </c>
    </row>
    <row r="36" spans="1:8" s="141" customFormat="1" x14ac:dyDescent="0.25">
      <c r="A36" s="246" t="s">
        <v>247</v>
      </c>
      <c r="B36" s="247"/>
      <c r="C36" s="248"/>
      <c r="D36" s="36">
        <v>0</v>
      </c>
      <c r="E36" s="36">
        <f>'POSEBNI DIO'!E336+'POSEBNI DIO'!E360</f>
        <v>14405</v>
      </c>
      <c r="F36" s="36">
        <f>'POSEBNI DIO'!F336+'POSEBNI DIO'!F360</f>
        <v>157.79</v>
      </c>
      <c r="G36" s="140" t="e">
        <f t="shared" si="3"/>
        <v>#DIV/0!</v>
      </c>
      <c r="H36" s="140">
        <f t="shared" si="4"/>
        <v>1.095383547379382</v>
      </c>
    </row>
    <row r="37" spans="1:8" s="141" customFormat="1" x14ac:dyDescent="0.25">
      <c r="A37" s="246" t="s">
        <v>178</v>
      </c>
      <c r="B37" s="247"/>
      <c r="C37" s="248"/>
      <c r="D37" s="36">
        <v>1655398.88</v>
      </c>
      <c r="E37" s="36">
        <f>'POSEBNI DIO'!E105+'POSEBNI DIO'!E205+'POSEBNI DIO'!E293</f>
        <v>2272866.17</v>
      </c>
      <c r="F37" s="36">
        <f>'POSEBNI DIO'!F105+'POSEBNI DIO'!F205+'POSEBNI DIO'!F293</f>
        <v>2091977.17</v>
      </c>
      <c r="G37" s="140">
        <f t="shared" si="3"/>
        <v>126.37299657953133</v>
      </c>
      <c r="H37" s="140">
        <f t="shared" si="4"/>
        <v>92.041370390056883</v>
      </c>
    </row>
    <row r="38" spans="1:8" s="141" customFormat="1" x14ac:dyDescent="0.25">
      <c r="A38" s="246" t="s">
        <v>186</v>
      </c>
      <c r="B38" s="247"/>
      <c r="C38" s="248"/>
      <c r="D38" s="36">
        <v>1027.8499999999999</v>
      </c>
      <c r="E38" s="36">
        <f>'POSEBNI DIO'!E228+'POSEBNI DIO'!E290</f>
        <v>5226.5</v>
      </c>
      <c r="F38" s="36">
        <f>'POSEBNI DIO'!F228+'POSEBNI DIO'!F290</f>
        <v>1578.83</v>
      </c>
      <c r="G38" s="140">
        <f t="shared" si="3"/>
        <v>153.60509802013914</v>
      </c>
      <c r="H38" s="140">
        <f t="shared" si="4"/>
        <v>30.208169903377019</v>
      </c>
    </row>
    <row r="39" spans="1:8" s="141" customFormat="1" x14ac:dyDescent="0.25">
      <c r="A39" s="246" t="s">
        <v>179</v>
      </c>
      <c r="B39" s="247"/>
      <c r="C39" s="248"/>
      <c r="D39" s="36">
        <v>295.49</v>
      </c>
      <c r="E39" s="36">
        <f>'POSEBNI DIO'!E124+'POSEBNI DIO'!E241</f>
        <v>450</v>
      </c>
      <c r="F39" s="36">
        <f>'POSEBNI DIO'!F124+'POSEBNI DIO'!F241</f>
        <v>50</v>
      </c>
      <c r="G39" s="140">
        <f t="shared" si="3"/>
        <v>16.921046397509222</v>
      </c>
      <c r="H39" s="140">
        <f t="shared" si="4"/>
        <v>11.111111111111111</v>
      </c>
    </row>
    <row r="40" spans="1:8" s="141" customFormat="1" x14ac:dyDescent="0.25">
      <c r="A40" s="246" t="s">
        <v>184</v>
      </c>
      <c r="B40" s="247"/>
      <c r="C40" s="248"/>
      <c r="D40" s="36">
        <v>310.93</v>
      </c>
      <c r="E40" s="36">
        <f>'POSEBNI DIO'!E251+'POSEBNI DIO'!E285</f>
        <v>670.84</v>
      </c>
      <c r="F40" s="36">
        <f>'POSEBNI DIO'!F251+'POSEBNI DIO'!F285</f>
        <v>167.64</v>
      </c>
      <c r="G40" s="140">
        <f t="shared" si="3"/>
        <v>53.915672337825228</v>
      </c>
      <c r="H40" s="140">
        <f t="shared" si="4"/>
        <v>24.989565321089973</v>
      </c>
    </row>
  </sheetData>
  <mergeCells count="33">
    <mergeCell ref="A29:C29"/>
    <mergeCell ref="A12:C12"/>
    <mergeCell ref="A13:C13"/>
    <mergeCell ref="A14:C14"/>
    <mergeCell ref="A16:C16"/>
    <mergeCell ref="A18:C18"/>
    <mergeCell ref="A19:C19"/>
    <mergeCell ref="A28:C28"/>
    <mergeCell ref="A27:C27"/>
    <mergeCell ref="A10:C10"/>
    <mergeCell ref="A25:C25"/>
    <mergeCell ref="A11:C11"/>
    <mergeCell ref="A3:G3"/>
    <mergeCell ref="A5:G5"/>
    <mergeCell ref="A7:G7"/>
    <mergeCell ref="A9:C9"/>
    <mergeCell ref="A17:C17"/>
    <mergeCell ref="A1:H1"/>
    <mergeCell ref="A36:C36"/>
    <mergeCell ref="A38:C38"/>
    <mergeCell ref="A39:C39"/>
    <mergeCell ref="A40:C40"/>
    <mergeCell ref="A15:C15"/>
    <mergeCell ref="A32:C32"/>
    <mergeCell ref="A30:C30"/>
    <mergeCell ref="A31:C31"/>
    <mergeCell ref="A33:C33"/>
    <mergeCell ref="A34:C34"/>
    <mergeCell ref="A35:C35"/>
    <mergeCell ref="A37:C37"/>
    <mergeCell ref="A22:G22"/>
    <mergeCell ref="A24:C24"/>
    <mergeCell ref="A26:C26"/>
  </mergeCells>
  <pageMargins left="0.51181102362204722" right="0.51181102362204722" top="0.55118110236220474" bottom="0.5511811023622047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70" zoomScaleNormal="170" workbookViewId="0">
      <selection activeCell="C13" sqref="C13"/>
    </sheetView>
  </sheetViews>
  <sheetFormatPr defaultRowHeight="15" x14ac:dyDescent="0.25"/>
  <cols>
    <col min="1" max="1" width="37.7109375" customWidth="1"/>
    <col min="2" max="2" width="18.85546875" customWidth="1"/>
    <col min="3" max="3" width="22.5703125" customWidth="1"/>
    <col min="4" max="4" width="21.7109375" customWidth="1"/>
    <col min="5" max="5" width="12.5703125" customWidth="1"/>
    <col min="6" max="6" width="11.28515625" customWidth="1"/>
  </cols>
  <sheetData>
    <row r="1" spans="1:11" ht="42" customHeight="1" x14ac:dyDescent="0.25">
      <c r="A1" s="231" t="s">
        <v>231</v>
      </c>
      <c r="B1" s="231"/>
      <c r="C1" s="231"/>
      <c r="D1" s="231"/>
      <c r="E1" s="231"/>
      <c r="F1" s="231"/>
      <c r="G1" s="206"/>
      <c r="H1" s="206"/>
      <c r="I1" s="206"/>
      <c r="J1" s="206"/>
      <c r="K1" s="77"/>
    </row>
    <row r="2" spans="1:11" ht="15.75" x14ac:dyDescent="0.25">
      <c r="A2" s="233" t="s">
        <v>13</v>
      </c>
      <c r="B2" s="233"/>
      <c r="C2" s="233"/>
      <c r="D2" s="234"/>
      <c r="E2" s="234"/>
    </row>
    <row r="3" spans="1:11" ht="18" x14ac:dyDescent="0.25">
      <c r="A3" s="2"/>
      <c r="B3" s="14"/>
      <c r="C3" s="2"/>
      <c r="D3" s="3"/>
      <c r="E3" s="3"/>
    </row>
    <row r="4" spans="1:11" ht="18" customHeight="1" x14ac:dyDescent="0.25">
      <c r="A4" s="233" t="s">
        <v>2</v>
      </c>
      <c r="B4" s="233"/>
      <c r="C4" s="235"/>
      <c r="D4" s="235"/>
      <c r="E4" s="235"/>
    </row>
    <row r="5" spans="1:11" ht="18" x14ac:dyDescent="0.25">
      <c r="A5" s="2"/>
      <c r="B5" s="14"/>
      <c r="C5" s="2"/>
      <c r="D5" s="3"/>
      <c r="E5" s="3"/>
    </row>
    <row r="6" spans="1:11" ht="15.75" x14ac:dyDescent="0.25">
      <c r="A6" s="233" t="s">
        <v>9</v>
      </c>
      <c r="B6" s="233"/>
      <c r="C6" s="236"/>
      <c r="D6" s="236"/>
      <c r="E6" s="236"/>
    </row>
    <row r="7" spans="1:11" ht="18" x14ac:dyDescent="0.25">
      <c r="A7" s="2"/>
      <c r="B7" s="14"/>
      <c r="C7" s="2"/>
      <c r="D7" s="3"/>
      <c r="E7" s="31"/>
    </row>
    <row r="8" spans="1:11" ht="25.5" x14ac:dyDescent="0.25">
      <c r="A8" s="82" t="s">
        <v>10</v>
      </c>
      <c r="B8" s="162" t="s">
        <v>235</v>
      </c>
      <c r="C8" s="13" t="s">
        <v>232</v>
      </c>
      <c r="D8" s="162" t="s">
        <v>234</v>
      </c>
      <c r="E8" s="13" t="s">
        <v>189</v>
      </c>
      <c r="F8" s="13" t="s">
        <v>190</v>
      </c>
    </row>
    <row r="9" spans="1:11" x14ac:dyDescent="0.25">
      <c r="A9" s="81">
        <v>1</v>
      </c>
      <c r="B9" s="81">
        <v>2</v>
      </c>
      <c r="C9" s="81">
        <v>3</v>
      </c>
      <c r="D9" s="81">
        <v>4</v>
      </c>
      <c r="E9" s="163" t="s">
        <v>207</v>
      </c>
      <c r="F9" s="163" t="s">
        <v>208</v>
      </c>
    </row>
    <row r="10" spans="1:11" ht="15.75" customHeight="1" x14ac:dyDescent="0.25">
      <c r="A10" s="5" t="s">
        <v>11</v>
      </c>
      <c r="B10" s="67">
        <f t="shared" ref="B10:D10" si="0">B11</f>
        <v>1974974.1199999999</v>
      </c>
      <c r="C10" s="67">
        <f>C11</f>
        <v>2740261.58</v>
      </c>
      <c r="D10" s="67">
        <f t="shared" si="0"/>
        <v>2437435.19</v>
      </c>
      <c r="E10" s="99">
        <f>(D10/B10)*100</f>
        <v>123.41605721901814</v>
      </c>
      <c r="F10" s="99">
        <f>(D10/C10)*100</f>
        <v>88.94899697860231</v>
      </c>
    </row>
    <row r="11" spans="1:11" ht="15.75" customHeight="1" x14ac:dyDescent="0.25">
      <c r="A11" s="5" t="s">
        <v>25</v>
      </c>
      <c r="B11" s="66">
        <f>B12+B13</f>
        <v>1974974.1199999999</v>
      </c>
      <c r="C11" s="66">
        <f>C12+C13</f>
        <v>2740261.58</v>
      </c>
      <c r="D11" s="66">
        <f>D12+D13</f>
        <v>2437435.19</v>
      </c>
      <c r="E11" s="99">
        <f t="shared" ref="E11:E13" si="1">(D11/B11)*100</f>
        <v>123.41605721901814</v>
      </c>
      <c r="F11" s="99">
        <f t="shared" ref="F11:F13" si="2">(D11/C11)*100</f>
        <v>88.94899697860231</v>
      </c>
    </row>
    <row r="12" spans="1:11" x14ac:dyDescent="0.25">
      <c r="A12" s="9" t="s">
        <v>26</v>
      </c>
      <c r="B12" s="66">
        <v>1809723.2</v>
      </c>
      <c r="C12" s="66">
        <f>2740261.58-C13</f>
        <v>2437761.58</v>
      </c>
      <c r="D12" s="66">
        <f>2437435.19-D13</f>
        <v>2266079.02</v>
      </c>
      <c r="E12" s="99">
        <f t="shared" si="1"/>
        <v>125.2168851015448</v>
      </c>
      <c r="F12" s="99">
        <f t="shared" si="2"/>
        <v>92.95736870215174</v>
      </c>
    </row>
    <row r="13" spans="1:11" x14ac:dyDescent="0.25">
      <c r="A13" s="5" t="s">
        <v>27</v>
      </c>
      <c r="B13" s="66">
        <v>165250.92000000001</v>
      </c>
      <c r="C13" s="66">
        <f>17500+240000+45000</f>
        <v>302500</v>
      </c>
      <c r="D13" s="66">
        <f>9176.25+138998.14+23181.78</f>
        <v>171356.17</v>
      </c>
      <c r="E13" s="99">
        <f t="shared" si="1"/>
        <v>103.69453313784879</v>
      </c>
      <c r="F13" s="99">
        <f t="shared" si="2"/>
        <v>56.646667768595051</v>
      </c>
    </row>
  </sheetData>
  <mergeCells count="4">
    <mergeCell ref="A2:E2"/>
    <mergeCell ref="A4:E4"/>
    <mergeCell ref="A6:E6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3"/>
  <sheetViews>
    <sheetView zoomScale="130" zoomScaleNormal="130" workbookViewId="0">
      <selection activeCell="F386" sqref="F38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5.7109375" customWidth="1"/>
    <col min="4" max="4" width="37.28515625" customWidth="1"/>
    <col min="5" max="6" width="25.28515625" customWidth="1"/>
    <col min="7" max="7" width="14.5703125" customWidth="1"/>
    <col min="9" max="9" width="17.5703125" style="110" customWidth="1"/>
    <col min="10" max="10" width="18.85546875" customWidth="1"/>
  </cols>
  <sheetData>
    <row r="1" spans="1:10" ht="42" customHeight="1" x14ac:dyDescent="0.25">
      <c r="A1" s="231" t="s">
        <v>231</v>
      </c>
      <c r="B1" s="231"/>
      <c r="C1" s="231"/>
      <c r="D1" s="231"/>
      <c r="E1" s="231"/>
      <c r="F1" s="231"/>
      <c r="G1" s="231"/>
      <c r="H1" s="206"/>
      <c r="I1" s="206"/>
      <c r="J1" s="206"/>
    </row>
    <row r="2" spans="1:10" ht="18" x14ac:dyDescent="0.25">
      <c r="A2" s="2"/>
      <c r="B2" s="2"/>
      <c r="C2" s="2"/>
      <c r="D2" s="2"/>
      <c r="E2" s="2"/>
      <c r="F2" s="3"/>
      <c r="G2" s="3"/>
    </row>
    <row r="3" spans="1:10" ht="18" customHeight="1" x14ac:dyDescent="0.25">
      <c r="A3" s="233" t="s">
        <v>12</v>
      </c>
      <c r="B3" s="235"/>
      <c r="C3" s="235"/>
      <c r="D3" s="235"/>
      <c r="E3" s="235"/>
      <c r="F3" s="235"/>
      <c r="G3" s="235"/>
    </row>
    <row r="4" spans="1:10" ht="18" customHeight="1" x14ac:dyDescent="0.25">
      <c r="A4" s="143"/>
      <c r="B4" s="144"/>
      <c r="C4" s="144"/>
      <c r="D4" s="276" t="s">
        <v>214</v>
      </c>
      <c r="E4" s="276"/>
      <c r="F4" s="276"/>
      <c r="G4" s="144"/>
    </row>
    <row r="5" spans="1:10" ht="18" customHeight="1" x14ac:dyDescent="0.25">
      <c r="A5" s="143"/>
      <c r="B5" s="144"/>
      <c r="C5" s="144"/>
      <c r="D5" s="144"/>
      <c r="E5" s="144"/>
      <c r="F5" s="144"/>
      <c r="G5" s="144"/>
    </row>
    <row r="6" spans="1:10" ht="18" x14ac:dyDescent="0.25">
      <c r="A6" s="2"/>
      <c r="B6" s="2"/>
      <c r="C6" s="31"/>
      <c r="D6" s="2"/>
      <c r="E6" s="42">
        <f>E9+E297</f>
        <v>2740261.5799999996</v>
      </c>
      <c r="F6" s="42">
        <f>F9+F297</f>
        <v>2437435.1900000004</v>
      </c>
      <c r="G6" s="42">
        <f>F6/E6*100</f>
        <v>88.948996978602352</v>
      </c>
    </row>
    <row r="7" spans="1:10" x14ac:dyDescent="0.25">
      <c r="A7" s="240" t="s">
        <v>10</v>
      </c>
      <c r="B7" s="241"/>
      <c r="C7" s="241"/>
      <c r="D7" s="242"/>
      <c r="E7" s="13" t="s">
        <v>232</v>
      </c>
      <c r="F7" s="162" t="s">
        <v>234</v>
      </c>
      <c r="G7" s="13" t="s">
        <v>93</v>
      </c>
    </row>
    <row r="8" spans="1:10" s="85" customFormat="1" ht="12" x14ac:dyDescent="0.2">
      <c r="A8" s="283">
        <v>1</v>
      </c>
      <c r="B8" s="284"/>
      <c r="C8" s="284"/>
      <c r="D8" s="285"/>
      <c r="E8" s="84">
        <v>2</v>
      </c>
      <c r="F8" s="84">
        <v>3</v>
      </c>
      <c r="G8" s="84" t="s">
        <v>94</v>
      </c>
      <c r="I8" s="114"/>
    </row>
    <row r="9" spans="1:10" ht="37.15" customHeight="1" x14ac:dyDescent="0.25">
      <c r="A9" s="280" t="s">
        <v>89</v>
      </c>
      <c r="B9" s="281"/>
      <c r="C9" s="282"/>
      <c r="D9" s="65" t="s">
        <v>90</v>
      </c>
      <c r="E9" s="52">
        <f>E10+E38+E45+E52+E71+E127+E257+E270+E60+E66</f>
        <v>2489211.5799999996</v>
      </c>
      <c r="F9" s="52">
        <f>F10+F38+F45+F52+F71+F127+F257+F270+F60+F66</f>
        <v>2202005.16</v>
      </c>
      <c r="G9" s="52"/>
      <c r="I9" s="120"/>
      <c r="J9" s="110"/>
    </row>
    <row r="10" spans="1:10" ht="24.95" customHeight="1" x14ac:dyDescent="0.25">
      <c r="A10" s="267" t="s">
        <v>34</v>
      </c>
      <c r="B10" s="268"/>
      <c r="C10" s="269"/>
      <c r="D10" s="44" t="s">
        <v>236</v>
      </c>
      <c r="E10" s="51">
        <f>E12</f>
        <v>77927.5</v>
      </c>
      <c r="F10" s="51">
        <f>F12</f>
        <v>54722.49</v>
      </c>
      <c r="G10" s="51"/>
    </row>
    <row r="11" spans="1:10" s="57" customFormat="1" ht="24.95" customHeight="1" x14ac:dyDescent="0.2">
      <c r="A11" s="258" t="s">
        <v>57</v>
      </c>
      <c r="B11" s="259"/>
      <c r="C11" s="260"/>
      <c r="D11" s="55" t="s">
        <v>4</v>
      </c>
      <c r="E11" s="56">
        <f>E12</f>
        <v>77927.5</v>
      </c>
      <c r="F11" s="56">
        <f t="shared" ref="F11" si="0">F12</f>
        <v>54722.49</v>
      </c>
      <c r="G11" s="56">
        <f>(F11/E11)*100</f>
        <v>70.222309197651654</v>
      </c>
      <c r="I11" s="115"/>
    </row>
    <row r="12" spans="1:10" ht="24.95" customHeight="1" x14ac:dyDescent="0.25">
      <c r="A12" s="261">
        <v>3</v>
      </c>
      <c r="B12" s="262"/>
      <c r="C12" s="263"/>
      <c r="D12" s="16" t="s">
        <v>6</v>
      </c>
      <c r="E12" s="37">
        <f>E13</f>
        <v>77927.5</v>
      </c>
      <c r="F12" s="37">
        <f>F13</f>
        <v>54722.49</v>
      </c>
      <c r="G12" s="37"/>
    </row>
    <row r="13" spans="1:10" ht="24.95" customHeight="1" x14ac:dyDescent="0.25">
      <c r="A13" s="264">
        <v>32</v>
      </c>
      <c r="B13" s="265"/>
      <c r="C13" s="266"/>
      <c r="D13" s="123" t="s">
        <v>14</v>
      </c>
      <c r="E13" s="124">
        <f>4040+350+10250+30000+500+25+93.75+2200+2250+125+7500+10000+575+2650+3373.75+3400+95+500</f>
        <v>77927.5</v>
      </c>
      <c r="F13" s="124">
        <f>F14+F18+F24+F33</f>
        <v>54722.49</v>
      </c>
      <c r="G13" s="125">
        <f>(F13/E13)*100</f>
        <v>70.222309197651654</v>
      </c>
    </row>
    <row r="14" spans="1:10" ht="24.95" customHeight="1" x14ac:dyDescent="0.25">
      <c r="A14" s="270">
        <v>321</v>
      </c>
      <c r="B14" s="271"/>
      <c r="C14" s="272"/>
      <c r="D14" s="96" t="s">
        <v>118</v>
      </c>
      <c r="E14" s="37"/>
      <c r="F14" s="105">
        <f>SUM(F15:F17)</f>
        <v>5947.6</v>
      </c>
      <c r="G14" s="38"/>
    </row>
    <row r="15" spans="1:10" ht="24.95" customHeight="1" x14ac:dyDescent="0.25">
      <c r="A15" s="273">
        <v>3211</v>
      </c>
      <c r="B15" s="274"/>
      <c r="C15" s="275"/>
      <c r="D15" s="96" t="s">
        <v>119</v>
      </c>
      <c r="E15" s="37"/>
      <c r="F15" s="37">
        <f>4366.6</f>
        <v>4366.6000000000004</v>
      </c>
      <c r="G15" s="38"/>
    </row>
    <row r="16" spans="1:10" ht="24.95" customHeight="1" x14ac:dyDescent="0.25">
      <c r="A16" s="273">
        <v>3213</v>
      </c>
      <c r="B16" s="274"/>
      <c r="C16" s="275"/>
      <c r="D16" s="96" t="s">
        <v>121</v>
      </c>
      <c r="E16" s="37"/>
      <c r="F16" s="37">
        <v>525</v>
      </c>
      <c r="G16" s="38"/>
    </row>
    <row r="17" spans="1:7" ht="24.95" customHeight="1" x14ac:dyDescent="0.25">
      <c r="A17" s="273">
        <v>3214</v>
      </c>
      <c r="B17" s="274"/>
      <c r="C17" s="275"/>
      <c r="D17" s="96" t="s">
        <v>122</v>
      </c>
      <c r="E17" s="37"/>
      <c r="F17" s="37">
        <v>1056</v>
      </c>
      <c r="G17" s="38"/>
    </row>
    <row r="18" spans="1:7" ht="24.95" customHeight="1" x14ac:dyDescent="0.25">
      <c r="A18" s="270">
        <v>322</v>
      </c>
      <c r="B18" s="271"/>
      <c r="C18" s="272"/>
      <c r="D18" s="96" t="s">
        <v>123</v>
      </c>
      <c r="E18" s="37"/>
      <c r="F18" s="105">
        <f>SUM(F19:F23)</f>
        <v>29561.96</v>
      </c>
      <c r="G18" s="38"/>
    </row>
    <row r="19" spans="1:7" ht="24.95" customHeight="1" x14ac:dyDescent="0.25">
      <c r="A19" s="273">
        <v>3221</v>
      </c>
      <c r="B19" s="274"/>
      <c r="C19" s="275"/>
      <c r="D19" s="96" t="s">
        <v>124</v>
      </c>
      <c r="E19" s="37"/>
      <c r="F19" s="37">
        <v>9217.18</v>
      </c>
      <c r="G19" s="38"/>
    </row>
    <row r="20" spans="1:7" ht="24.95" customHeight="1" x14ac:dyDescent="0.25">
      <c r="A20" s="273">
        <v>3223</v>
      </c>
      <c r="B20" s="274"/>
      <c r="C20" s="275"/>
      <c r="D20" s="96" t="s">
        <v>126</v>
      </c>
      <c r="E20" s="37"/>
      <c r="F20" s="37">
        <v>20344.78</v>
      </c>
      <c r="G20" s="38"/>
    </row>
    <row r="21" spans="1:7" ht="24.95" customHeight="1" x14ac:dyDescent="0.25">
      <c r="A21" s="273">
        <v>3224</v>
      </c>
      <c r="B21" s="274"/>
      <c r="C21" s="275"/>
      <c r="D21" s="96" t="s">
        <v>160</v>
      </c>
      <c r="E21" s="37"/>
      <c r="F21" s="37">
        <v>0</v>
      </c>
      <c r="G21" s="38"/>
    </row>
    <row r="22" spans="1:7" ht="24.95" customHeight="1" x14ac:dyDescent="0.25">
      <c r="A22" s="273">
        <v>3225</v>
      </c>
      <c r="B22" s="274"/>
      <c r="C22" s="275"/>
      <c r="D22" s="96" t="s">
        <v>127</v>
      </c>
      <c r="E22" s="37"/>
      <c r="F22" s="37">
        <v>0</v>
      </c>
      <c r="G22" s="38"/>
    </row>
    <row r="23" spans="1:7" ht="24.95" customHeight="1" x14ac:dyDescent="0.25">
      <c r="A23" s="273">
        <v>3227</v>
      </c>
      <c r="B23" s="274"/>
      <c r="C23" s="275"/>
      <c r="D23" s="96" t="s">
        <v>161</v>
      </c>
      <c r="E23" s="37"/>
      <c r="F23" s="37">
        <v>0</v>
      </c>
      <c r="G23" s="38"/>
    </row>
    <row r="24" spans="1:7" ht="24.95" customHeight="1" x14ac:dyDescent="0.25">
      <c r="A24" s="270">
        <v>323</v>
      </c>
      <c r="B24" s="271"/>
      <c r="C24" s="272"/>
      <c r="D24" s="96" t="s">
        <v>128</v>
      </c>
      <c r="E24" s="37"/>
      <c r="F24" s="105">
        <f>SUM(F25:F32)</f>
        <v>15362.24</v>
      </c>
      <c r="G24" s="38"/>
    </row>
    <row r="25" spans="1:7" ht="24.95" customHeight="1" x14ac:dyDescent="0.25">
      <c r="A25" s="273">
        <v>3231</v>
      </c>
      <c r="B25" s="274"/>
      <c r="C25" s="275"/>
      <c r="D25" s="96" t="s">
        <v>129</v>
      </c>
      <c r="E25" s="37"/>
      <c r="F25" s="37">
        <v>2314.2199999999998</v>
      </c>
      <c r="G25" s="38"/>
    </row>
    <row r="26" spans="1:7" ht="24.95" customHeight="1" x14ac:dyDescent="0.25">
      <c r="A26" s="273">
        <v>3232</v>
      </c>
      <c r="B26" s="274"/>
      <c r="C26" s="275"/>
      <c r="D26" s="96" t="s">
        <v>130</v>
      </c>
      <c r="E26" s="37"/>
      <c r="F26" s="37">
        <v>0</v>
      </c>
      <c r="G26" s="38"/>
    </row>
    <row r="27" spans="1:7" ht="24.95" customHeight="1" x14ac:dyDescent="0.25">
      <c r="A27" s="273">
        <v>3233</v>
      </c>
      <c r="B27" s="274"/>
      <c r="C27" s="275"/>
      <c r="D27" s="96" t="s">
        <v>131</v>
      </c>
      <c r="E27" s="37"/>
      <c r="F27" s="37">
        <v>0</v>
      </c>
      <c r="G27" s="38"/>
    </row>
    <row r="28" spans="1:7" ht="24.95" customHeight="1" x14ac:dyDescent="0.25">
      <c r="A28" s="273">
        <v>3234</v>
      </c>
      <c r="B28" s="274"/>
      <c r="C28" s="275"/>
      <c r="D28" s="96" t="s">
        <v>132</v>
      </c>
      <c r="E28" s="37"/>
      <c r="F28" s="37">
        <v>7285.66</v>
      </c>
      <c r="G28" s="38"/>
    </row>
    <row r="29" spans="1:7" ht="24.95" customHeight="1" x14ac:dyDescent="0.25">
      <c r="A29" s="273">
        <v>3236</v>
      </c>
      <c r="B29" s="274"/>
      <c r="C29" s="275"/>
      <c r="D29" s="96" t="s">
        <v>142</v>
      </c>
      <c r="E29" s="37"/>
      <c r="F29" s="37">
        <v>0</v>
      </c>
      <c r="G29" s="38"/>
    </row>
    <row r="30" spans="1:7" ht="24.95" customHeight="1" x14ac:dyDescent="0.25">
      <c r="A30" s="273">
        <v>3237</v>
      </c>
      <c r="B30" s="274"/>
      <c r="C30" s="275"/>
      <c r="D30" s="96" t="s">
        <v>133</v>
      </c>
      <c r="E30" s="37"/>
      <c r="F30" s="37">
        <v>327.44</v>
      </c>
      <c r="G30" s="38"/>
    </row>
    <row r="31" spans="1:7" ht="24.95" customHeight="1" x14ac:dyDescent="0.25">
      <c r="A31" s="273">
        <v>3238</v>
      </c>
      <c r="B31" s="274"/>
      <c r="C31" s="275"/>
      <c r="D31" s="96" t="s">
        <v>134</v>
      </c>
      <c r="E31" s="37"/>
      <c r="F31" s="37">
        <v>2563.66</v>
      </c>
      <c r="G31" s="38"/>
    </row>
    <row r="32" spans="1:7" ht="24.95" customHeight="1" x14ac:dyDescent="0.25">
      <c r="A32" s="273">
        <v>3239</v>
      </c>
      <c r="B32" s="274"/>
      <c r="C32" s="275"/>
      <c r="D32" s="96" t="s">
        <v>135</v>
      </c>
      <c r="E32" s="37"/>
      <c r="F32" s="37">
        <f>30+2841.26</f>
        <v>2871.26</v>
      </c>
      <c r="G32" s="38"/>
    </row>
    <row r="33" spans="1:9" ht="24.95" customHeight="1" x14ac:dyDescent="0.25">
      <c r="A33" s="270">
        <v>329</v>
      </c>
      <c r="B33" s="271"/>
      <c r="C33" s="272"/>
      <c r="D33" s="96" t="s">
        <v>136</v>
      </c>
      <c r="E33" s="37"/>
      <c r="F33" s="105">
        <f>SUM(F34:F37)</f>
        <v>3850.69</v>
      </c>
      <c r="G33" s="38"/>
    </row>
    <row r="34" spans="1:9" ht="24.95" customHeight="1" x14ac:dyDescent="0.25">
      <c r="A34" s="273">
        <v>3292</v>
      </c>
      <c r="B34" s="274"/>
      <c r="C34" s="275"/>
      <c r="D34" s="96" t="s">
        <v>137</v>
      </c>
      <c r="E34" s="37"/>
      <c r="F34" s="37">
        <v>3370.04</v>
      </c>
      <c r="G34" s="38"/>
    </row>
    <row r="35" spans="1:9" ht="24.95" customHeight="1" x14ac:dyDescent="0.25">
      <c r="A35" s="273">
        <v>3293</v>
      </c>
      <c r="B35" s="274"/>
      <c r="C35" s="275"/>
      <c r="D35" s="96" t="s">
        <v>138</v>
      </c>
      <c r="E35" s="37"/>
      <c r="F35" s="37">
        <v>0</v>
      </c>
      <c r="G35" s="38"/>
    </row>
    <row r="36" spans="1:9" ht="24.95" customHeight="1" x14ac:dyDescent="0.25">
      <c r="A36" s="273">
        <v>3294</v>
      </c>
      <c r="B36" s="274"/>
      <c r="C36" s="275"/>
      <c r="D36" s="96" t="s">
        <v>139</v>
      </c>
      <c r="E36" s="37"/>
      <c r="F36" s="37">
        <v>95</v>
      </c>
      <c r="G36" s="38"/>
    </row>
    <row r="37" spans="1:9" ht="24.95" customHeight="1" x14ac:dyDescent="0.25">
      <c r="A37" s="273">
        <v>3299</v>
      </c>
      <c r="B37" s="274"/>
      <c r="C37" s="275"/>
      <c r="D37" s="96" t="s">
        <v>136</v>
      </c>
      <c r="E37" s="37"/>
      <c r="F37" s="37">
        <v>385.65</v>
      </c>
      <c r="G37" s="38"/>
    </row>
    <row r="38" spans="1:9" ht="24.95" customHeight="1" x14ac:dyDescent="0.25">
      <c r="A38" s="267" t="s">
        <v>35</v>
      </c>
      <c r="B38" s="268"/>
      <c r="C38" s="269"/>
      <c r="D38" s="76" t="s">
        <v>237</v>
      </c>
      <c r="E38" s="51">
        <f>E40</f>
        <v>22.5</v>
      </c>
      <c r="F38" s="51">
        <f t="shared" ref="F38" si="1">F40</f>
        <v>11.78</v>
      </c>
      <c r="G38" s="51"/>
    </row>
    <row r="39" spans="1:9" s="58" customFormat="1" ht="24.95" customHeight="1" x14ac:dyDescent="0.25">
      <c r="A39" s="258" t="s">
        <v>57</v>
      </c>
      <c r="B39" s="259"/>
      <c r="C39" s="260"/>
      <c r="D39" s="55" t="s">
        <v>4</v>
      </c>
      <c r="E39" s="56">
        <f>E40</f>
        <v>22.5</v>
      </c>
      <c r="F39" s="56">
        <f>F40</f>
        <v>11.78</v>
      </c>
      <c r="G39" s="56">
        <f>(F39/E39)*100</f>
        <v>52.355555555555554</v>
      </c>
      <c r="I39" s="116"/>
    </row>
    <row r="40" spans="1:9" ht="24.95" customHeight="1" x14ac:dyDescent="0.25">
      <c r="A40" s="261">
        <v>3</v>
      </c>
      <c r="B40" s="262"/>
      <c r="C40" s="263"/>
      <c r="D40" s="18" t="s">
        <v>6</v>
      </c>
      <c r="E40" s="37">
        <f>E41</f>
        <v>22.5</v>
      </c>
      <c r="F40" s="37">
        <f t="shared" ref="F40" si="2">F41</f>
        <v>11.78</v>
      </c>
      <c r="G40" s="37"/>
    </row>
    <row r="41" spans="1:9" ht="24.95" customHeight="1" x14ac:dyDescent="0.25">
      <c r="A41" s="264">
        <v>34</v>
      </c>
      <c r="B41" s="265"/>
      <c r="C41" s="266"/>
      <c r="D41" s="123" t="s">
        <v>36</v>
      </c>
      <c r="E41" s="124">
        <f>22.5</f>
        <v>22.5</v>
      </c>
      <c r="F41" s="124">
        <f>F42</f>
        <v>11.78</v>
      </c>
      <c r="G41" s="125">
        <f>(F41/E41)*100</f>
        <v>52.355555555555554</v>
      </c>
    </row>
    <row r="42" spans="1:9" ht="24.95" customHeight="1" x14ac:dyDescent="0.25">
      <c r="A42" s="270">
        <v>343</v>
      </c>
      <c r="B42" s="271"/>
      <c r="C42" s="272"/>
      <c r="D42" s="97" t="s">
        <v>145</v>
      </c>
      <c r="E42" s="105"/>
      <c r="F42" s="105">
        <f>F43+F44</f>
        <v>11.78</v>
      </c>
      <c r="G42" s="38"/>
    </row>
    <row r="43" spans="1:9" ht="24.95" customHeight="1" x14ac:dyDescent="0.25">
      <c r="A43" s="273">
        <v>3431</v>
      </c>
      <c r="B43" s="274"/>
      <c r="C43" s="275"/>
      <c r="D43" s="96" t="s">
        <v>146</v>
      </c>
      <c r="E43" s="37"/>
      <c r="F43" s="37">
        <v>0</v>
      </c>
      <c r="G43" s="38"/>
    </row>
    <row r="44" spans="1:9" ht="24.95" customHeight="1" x14ac:dyDescent="0.25">
      <c r="A44" s="273">
        <v>3433</v>
      </c>
      <c r="B44" s="274"/>
      <c r="C44" s="275"/>
      <c r="D44" s="97" t="s">
        <v>147</v>
      </c>
      <c r="E44" s="37"/>
      <c r="F44" s="37">
        <v>11.78</v>
      </c>
      <c r="G44" s="38"/>
    </row>
    <row r="45" spans="1:9" ht="24.95" customHeight="1" x14ac:dyDescent="0.25">
      <c r="A45" s="267" t="s">
        <v>37</v>
      </c>
      <c r="B45" s="268"/>
      <c r="C45" s="269"/>
      <c r="D45" s="44" t="s">
        <v>242</v>
      </c>
      <c r="E45" s="51">
        <f>E47</f>
        <v>0</v>
      </c>
      <c r="F45" s="51">
        <f t="shared" ref="F45" si="3">F47</f>
        <v>0</v>
      </c>
      <c r="G45" s="51"/>
    </row>
    <row r="46" spans="1:9" s="58" customFormat="1" ht="24.95" customHeight="1" x14ac:dyDescent="0.25">
      <c r="A46" s="258" t="s">
        <v>57</v>
      </c>
      <c r="B46" s="259"/>
      <c r="C46" s="260"/>
      <c r="D46" s="55" t="s">
        <v>4</v>
      </c>
      <c r="E46" s="56">
        <f>E47</f>
        <v>0</v>
      </c>
      <c r="F46" s="56">
        <f t="shared" ref="F46:F47" si="4">F47</f>
        <v>0</v>
      </c>
      <c r="G46" s="56" t="e">
        <f>(F46/E46)*100</f>
        <v>#DIV/0!</v>
      </c>
      <c r="I46" s="116"/>
    </row>
    <row r="47" spans="1:9" ht="24.95" customHeight="1" x14ac:dyDescent="0.25">
      <c r="A47" s="261">
        <v>4</v>
      </c>
      <c r="B47" s="262"/>
      <c r="C47" s="263"/>
      <c r="D47" s="18" t="s">
        <v>8</v>
      </c>
      <c r="E47" s="37">
        <f>E48</f>
        <v>0</v>
      </c>
      <c r="F47" s="37">
        <f t="shared" si="4"/>
        <v>0</v>
      </c>
      <c r="G47" s="37"/>
    </row>
    <row r="48" spans="1:9" ht="24.95" customHeight="1" x14ac:dyDescent="0.25">
      <c r="A48" s="264">
        <v>42</v>
      </c>
      <c r="B48" s="265"/>
      <c r="C48" s="266"/>
      <c r="D48" s="123" t="s">
        <v>17</v>
      </c>
      <c r="E48" s="124"/>
      <c r="F48" s="124">
        <f>SUM(F49:F51)</f>
        <v>0</v>
      </c>
      <c r="G48" s="125" t="e">
        <f>(F48/E48)*100</f>
        <v>#DIV/0!</v>
      </c>
    </row>
    <row r="49" spans="1:9" ht="24.95" customHeight="1" x14ac:dyDescent="0.25">
      <c r="A49" s="273">
        <v>4221</v>
      </c>
      <c r="B49" s="274"/>
      <c r="C49" s="275"/>
      <c r="D49" s="97" t="s">
        <v>152</v>
      </c>
      <c r="E49" s="37"/>
      <c r="F49" s="37">
        <v>0</v>
      </c>
      <c r="G49" s="56"/>
    </row>
    <row r="50" spans="1:9" ht="24.95" customHeight="1" x14ac:dyDescent="0.25">
      <c r="A50" s="273">
        <v>4223</v>
      </c>
      <c r="B50" s="274"/>
      <c r="C50" s="275"/>
      <c r="D50" s="98" t="s">
        <v>154</v>
      </c>
      <c r="E50" s="37"/>
      <c r="F50" s="37">
        <v>0</v>
      </c>
      <c r="G50" s="56"/>
    </row>
    <row r="51" spans="1:9" ht="24.95" customHeight="1" x14ac:dyDescent="0.25">
      <c r="A51" s="273">
        <v>4241</v>
      </c>
      <c r="B51" s="274"/>
      <c r="C51" s="275"/>
      <c r="D51" s="97" t="s">
        <v>156</v>
      </c>
      <c r="E51" s="37"/>
      <c r="F51" s="37">
        <v>0</v>
      </c>
      <c r="G51" s="56"/>
    </row>
    <row r="52" spans="1:9" ht="24.95" customHeight="1" x14ac:dyDescent="0.25">
      <c r="A52" s="267" t="s">
        <v>38</v>
      </c>
      <c r="B52" s="268"/>
      <c r="C52" s="269"/>
      <c r="D52" s="44" t="s">
        <v>243</v>
      </c>
      <c r="E52" s="51">
        <f>E54</f>
        <v>0</v>
      </c>
      <c r="F52" s="51">
        <f t="shared" ref="F52" si="5">F54</f>
        <v>0</v>
      </c>
      <c r="G52" s="51"/>
    </row>
    <row r="53" spans="1:9" s="58" customFormat="1" ht="24.95" customHeight="1" x14ac:dyDescent="0.25">
      <c r="A53" s="258" t="s">
        <v>57</v>
      </c>
      <c r="B53" s="259"/>
      <c r="C53" s="260"/>
      <c r="D53" s="55" t="s">
        <v>4</v>
      </c>
      <c r="E53" s="56">
        <f>E54</f>
        <v>0</v>
      </c>
      <c r="F53" s="56">
        <f>F54</f>
        <v>0</v>
      </c>
      <c r="G53" s="56" t="e">
        <f>(F53/E53)*100</f>
        <v>#DIV/0!</v>
      </c>
      <c r="I53" s="116"/>
    </row>
    <row r="54" spans="1:9" ht="24.95" customHeight="1" x14ac:dyDescent="0.25">
      <c r="A54" s="261">
        <v>4</v>
      </c>
      <c r="B54" s="262"/>
      <c r="C54" s="263"/>
      <c r="D54" s="18" t="s">
        <v>8</v>
      </c>
      <c r="E54" s="37">
        <f>E55</f>
        <v>0</v>
      </c>
      <c r="F54" s="37">
        <f t="shared" ref="F54" si="6">F55</f>
        <v>0</v>
      </c>
      <c r="G54" s="37"/>
    </row>
    <row r="55" spans="1:9" ht="24.95" customHeight="1" x14ac:dyDescent="0.25">
      <c r="A55" s="264">
        <v>45</v>
      </c>
      <c r="B55" s="265"/>
      <c r="C55" s="266"/>
      <c r="D55" s="126" t="s">
        <v>23</v>
      </c>
      <c r="E55" s="124"/>
      <c r="F55" s="124">
        <f>F56+F58</f>
        <v>0</v>
      </c>
      <c r="G55" s="125" t="e">
        <f>(F55/E55)*100</f>
        <v>#DIV/0!</v>
      </c>
    </row>
    <row r="56" spans="1:9" ht="24.95" customHeight="1" x14ac:dyDescent="0.25">
      <c r="A56" s="270">
        <v>451</v>
      </c>
      <c r="B56" s="271"/>
      <c r="C56" s="272"/>
      <c r="D56" s="96" t="s">
        <v>157</v>
      </c>
      <c r="E56" s="105"/>
      <c r="F56" s="105">
        <f>F57</f>
        <v>0</v>
      </c>
      <c r="G56" s="38"/>
    </row>
    <row r="57" spans="1:9" ht="24.95" customHeight="1" x14ac:dyDescent="0.25">
      <c r="A57" s="273">
        <v>4511</v>
      </c>
      <c r="B57" s="274"/>
      <c r="C57" s="275"/>
      <c r="D57" s="96" t="s">
        <v>157</v>
      </c>
      <c r="E57" s="37"/>
      <c r="F57" s="37">
        <v>0</v>
      </c>
      <c r="G57" s="38"/>
    </row>
    <row r="58" spans="1:9" ht="24.95" customHeight="1" x14ac:dyDescent="0.25">
      <c r="A58" s="270">
        <v>452</v>
      </c>
      <c r="B58" s="271"/>
      <c r="C58" s="272"/>
      <c r="D58" s="96" t="s">
        <v>227</v>
      </c>
      <c r="E58" s="37"/>
      <c r="F58" s="105">
        <f>F59</f>
        <v>0</v>
      </c>
      <c r="G58" s="38"/>
    </row>
    <row r="59" spans="1:9" ht="24.95" customHeight="1" x14ac:dyDescent="0.25">
      <c r="A59" s="273">
        <v>4521</v>
      </c>
      <c r="B59" s="274"/>
      <c r="C59" s="275"/>
      <c r="D59" s="96" t="s">
        <v>227</v>
      </c>
      <c r="E59" s="37"/>
      <c r="F59" s="37">
        <v>0</v>
      </c>
      <c r="G59" s="38"/>
    </row>
    <row r="60" spans="1:9" ht="24.95" customHeight="1" x14ac:dyDescent="0.25">
      <c r="A60" s="267" t="s">
        <v>244</v>
      </c>
      <c r="B60" s="268"/>
      <c r="C60" s="269"/>
      <c r="D60" s="204" t="s">
        <v>239</v>
      </c>
      <c r="E60" s="51">
        <f>E62</f>
        <v>17080</v>
      </c>
      <c r="F60" s="51">
        <f t="shared" ref="F60" si="7">F62</f>
        <v>8826.4</v>
      </c>
      <c r="G60" s="51"/>
    </row>
    <row r="61" spans="1:9" ht="24.95" customHeight="1" x14ac:dyDescent="0.25">
      <c r="A61" s="258" t="s">
        <v>57</v>
      </c>
      <c r="B61" s="259"/>
      <c r="C61" s="260"/>
      <c r="D61" s="199" t="s">
        <v>4</v>
      </c>
      <c r="E61" s="56">
        <f>E62</f>
        <v>17080</v>
      </c>
      <c r="F61" s="56">
        <f>F62</f>
        <v>8826.4</v>
      </c>
      <c r="G61" s="56">
        <f>(F61/E61)*100</f>
        <v>51.676814988290396</v>
      </c>
    </row>
    <row r="62" spans="1:9" ht="24.95" customHeight="1" x14ac:dyDescent="0.25">
      <c r="A62" s="261">
        <v>3</v>
      </c>
      <c r="B62" s="262"/>
      <c r="C62" s="263"/>
      <c r="D62" s="203" t="s">
        <v>6</v>
      </c>
      <c r="E62" s="37">
        <f>E63</f>
        <v>17080</v>
      </c>
      <c r="F62" s="37">
        <f>F63</f>
        <v>8826.4</v>
      </c>
      <c r="G62" s="38"/>
    </row>
    <row r="63" spans="1:9" ht="24.95" customHeight="1" x14ac:dyDescent="0.25">
      <c r="A63" s="264">
        <v>32</v>
      </c>
      <c r="B63" s="265"/>
      <c r="C63" s="266"/>
      <c r="D63" s="123" t="s">
        <v>14</v>
      </c>
      <c r="E63" s="124">
        <f>4080+8000+5000</f>
        <v>17080</v>
      </c>
      <c r="F63" s="124">
        <f>F64+F65</f>
        <v>8826.4</v>
      </c>
      <c r="G63" s="125">
        <f>(F63/E63)*100</f>
        <v>51.676814988290396</v>
      </c>
    </row>
    <row r="64" spans="1:9" ht="24.95" customHeight="1" x14ac:dyDescent="0.25">
      <c r="A64" s="273">
        <v>3239</v>
      </c>
      <c r="B64" s="274"/>
      <c r="C64" s="275"/>
      <c r="D64" s="96" t="s">
        <v>135</v>
      </c>
      <c r="E64" s="37"/>
      <c r="F64" s="37">
        <v>8826.4</v>
      </c>
      <c r="G64" s="38"/>
    </row>
    <row r="65" spans="1:9" ht="24.95" customHeight="1" x14ac:dyDescent="0.25">
      <c r="A65" s="200"/>
      <c r="B65" s="201"/>
      <c r="C65" s="202"/>
      <c r="D65" s="205"/>
      <c r="E65" s="37"/>
      <c r="F65" s="37"/>
      <c r="G65" s="38"/>
    </row>
    <row r="66" spans="1:9" ht="24.95" customHeight="1" x14ac:dyDescent="0.25">
      <c r="A66" s="267" t="s">
        <v>240</v>
      </c>
      <c r="B66" s="268"/>
      <c r="C66" s="269"/>
      <c r="D66" s="204" t="s">
        <v>245</v>
      </c>
      <c r="E66" s="51">
        <f>E68</f>
        <v>0</v>
      </c>
      <c r="F66" s="51">
        <f t="shared" ref="F66" si="8">F68</f>
        <v>0</v>
      </c>
      <c r="G66" s="51"/>
    </row>
    <row r="67" spans="1:9" ht="24.95" customHeight="1" x14ac:dyDescent="0.25">
      <c r="A67" s="258" t="s">
        <v>57</v>
      </c>
      <c r="B67" s="259"/>
      <c r="C67" s="260"/>
      <c r="D67" s="199" t="s">
        <v>4</v>
      </c>
      <c r="E67" s="56">
        <f>E68</f>
        <v>0</v>
      </c>
      <c r="F67" s="56">
        <f>F68</f>
        <v>0</v>
      </c>
      <c r="G67" s="56" t="e">
        <f>(F67/E67)*100</f>
        <v>#DIV/0!</v>
      </c>
    </row>
    <row r="68" spans="1:9" ht="24.95" customHeight="1" x14ac:dyDescent="0.25">
      <c r="A68" s="261">
        <v>4</v>
      </c>
      <c r="B68" s="262"/>
      <c r="C68" s="263"/>
      <c r="D68" s="203" t="s">
        <v>8</v>
      </c>
      <c r="E68" s="37">
        <f>E69</f>
        <v>0</v>
      </c>
      <c r="F68" s="37">
        <f t="shared" ref="F68" si="9">F69</f>
        <v>0</v>
      </c>
      <c r="G68" s="37"/>
    </row>
    <row r="69" spans="1:9" ht="24.95" customHeight="1" x14ac:dyDescent="0.25">
      <c r="A69" s="264">
        <v>45</v>
      </c>
      <c r="B69" s="265"/>
      <c r="C69" s="266"/>
      <c r="D69" s="126" t="s">
        <v>23</v>
      </c>
      <c r="E69" s="124"/>
      <c r="F69" s="124">
        <f>F70</f>
        <v>0</v>
      </c>
      <c r="G69" s="125" t="e">
        <f>(F69/E69)*100</f>
        <v>#DIV/0!</v>
      </c>
    </row>
    <row r="70" spans="1:9" ht="24.95" customHeight="1" x14ac:dyDescent="0.25">
      <c r="A70" s="200"/>
      <c r="B70" s="201"/>
      <c r="C70" s="202"/>
      <c r="D70" s="205"/>
      <c r="E70" s="37"/>
      <c r="F70" s="37"/>
      <c r="G70" s="38"/>
    </row>
    <row r="71" spans="1:9" ht="32.450000000000003" customHeight="1" x14ac:dyDescent="0.25">
      <c r="A71" s="267" t="s">
        <v>39</v>
      </c>
      <c r="B71" s="268"/>
      <c r="C71" s="269"/>
      <c r="D71" s="44" t="s">
        <v>40</v>
      </c>
      <c r="E71" s="51">
        <f>E72+E75+E78+E95+E105+E124+E85</f>
        <v>2023030.09</v>
      </c>
      <c r="F71" s="51">
        <f>F72+F75+F78+F95+F105+F124+F85</f>
        <v>1949858.2899999998</v>
      </c>
      <c r="G71" s="51"/>
    </row>
    <row r="72" spans="1:9" s="58" customFormat="1" ht="24.95" customHeight="1" x14ac:dyDescent="0.25">
      <c r="A72" s="258" t="s">
        <v>58</v>
      </c>
      <c r="B72" s="259"/>
      <c r="C72" s="260"/>
      <c r="D72" s="55" t="s">
        <v>59</v>
      </c>
      <c r="E72" s="56">
        <f>E73</f>
        <v>0</v>
      </c>
      <c r="F72" s="56">
        <f t="shared" ref="F72:F73" si="10">F73</f>
        <v>0</v>
      </c>
      <c r="G72" s="56" t="e">
        <f>(F72/E72)*100</f>
        <v>#DIV/0!</v>
      </c>
      <c r="I72" s="116"/>
    </row>
    <row r="73" spans="1:9" ht="24.95" customHeight="1" x14ac:dyDescent="0.25">
      <c r="A73" s="261">
        <v>3</v>
      </c>
      <c r="B73" s="262"/>
      <c r="C73" s="263"/>
      <c r="D73" s="45" t="s">
        <v>6</v>
      </c>
      <c r="E73" s="37">
        <f>E74</f>
        <v>0</v>
      </c>
      <c r="F73" s="37">
        <f t="shared" si="10"/>
        <v>0</v>
      </c>
      <c r="G73" s="37"/>
    </row>
    <row r="74" spans="1:9" ht="24.95" customHeight="1" x14ac:dyDescent="0.25">
      <c r="A74" s="264">
        <v>31</v>
      </c>
      <c r="B74" s="265"/>
      <c r="C74" s="266"/>
      <c r="D74" s="123" t="s">
        <v>83</v>
      </c>
      <c r="E74" s="124"/>
      <c r="F74" s="124">
        <v>0</v>
      </c>
      <c r="G74" s="125" t="e">
        <f>(F74/E74)*100</f>
        <v>#DIV/0!</v>
      </c>
    </row>
    <row r="75" spans="1:9" s="58" customFormat="1" ht="24.95" customHeight="1" x14ac:dyDescent="0.25">
      <c r="A75" s="258" t="s">
        <v>80</v>
      </c>
      <c r="B75" s="259"/>
      <c r="C75" s="260"/>
      <c r="D75" s="55" t="s">
        <v>63</v>
      </c>
      <c r="E75" s="56">
        <f>E76</f>
        <v>0</v>
      </c>
      <c r="F75" s="56">
        <f t="shared" ref="F75:F76" si="11">F76</f>
        <v>0</v>
      </c>
      <c r="G75" s="56" t="e">
        <f>(F75/E75)*100</f>
        <v>#DIV/0!</v>
      </c>
      <c r="I75" s="116"/>
    </row>
    <row r="76" spans="1:9" ht="24.95" customHeight="1" x14ac:dyDescent="0.25">
      <c r="A76" s="261">
        <v>3</v>
      </c>
      <c r="B76" s="262"/>
      <c r="C76" s="263"/>
      <c r="D76" s="45" t="s">
        <v>6</v>
      </c>
      <c r="E76" s="37">
        <f>E77</f>
        <v>0</v>
      </c>
      <c r="F76" s="37">
        <f t="shared" si="11"/>
        <v>0</v>
      </c>
      <c r="G76" s="37"/>
    </row>
    <row r="77" spans="1:9" ht="24.95" customHeight="1" x14ac:dyDescent="0.25">
      <c r="A77" s="264">
        <v>31</v>
      </c>
      <c r="B77" s="265"/>
      <c r="C77" s="266"/>
      <c r="D77" s="123" t="s">
        <v>162</v>
      </c>
      <c r="E77" s="124">
        <v>0</v>
      </c>
      <c r="F77" s="124">
        <v>0</v>
      </c>
      <c r="G77" s="125" t="e">
        <f>(F77/E77)*100</f>
        <v>#DIV/0!</v>
      </c>
    </row>
    <row r="78" spans="1:9" s="58" customFormat="1" ht="24.95" customHeight="1" x14ac:dyDescent="0.25">
      <c r="A78" s="258" t="s">
        <v>71</v>
      </c>
      <c r="B78" s="259"/>
      <c r="C78" s="260"/>
      <c r="D78" s="199" t="s">
        <v>228</v>
      </c>
      <c r="E78" s="56">
        <f>E79</f>
        <v>388</v>
      </c>
      <c r="F78" s="56">
        <f>F79</f>
        <v>990</v>
      </c>
      <c r="G78" s="56">
        <f>(F78/E78)*100</f>
        <v>255.15463917525773</v>
      </c>
      <c r="I78" s="116"/>
    </row>
    <row r="79" spans="1:9" ht="24.95" customHeight="1" x14ac:dyDescent="0.25">
      <c r="A79" s="261">
        <v>3</v>
      </c>
      <c r="B79" s="262"/>
      <c r="C79" s="263"/>
      <c r="D79" s="45" t="s">
        <v>6</v>
      </c>
      <c r="E79" s="37">
        <f>E80</f>
        <v>388</v>
      </c>
      <c r="F79" s="37">
        <f t="shared" ref="F79" si="12">F80</f>
        <v>990</v>
      </c>
      <c r="G79" s="37"/>
    </row>
    <row r="80" spans="1:9" ht="24.95" customHeight="1" x14ac:dyDescent="0.25">
      <c r="A80" s="264">
        <v>31</v>
      </c>
      <c r="B80" s="265"/>
      <c r="C80" s="266"/>
      <c r="D80" s="123" t="s">
        <v>7</v>
      </c>
      <c r="E80" s="124">
        <f>388</f>
        <v>388</v>
      </c>
      <c r="F80" s="124">
        <f>F81+F83</f>
        <v>990</v>
      </c>
      <c r="G80" s="125">
        <f>(F80/E80)*100</f>
        <v>255.15463917525773</v>
      </c>
    </row>
    <row r="81" spans="1:9" ht="24.95" customHeight="1" x14ac:dyDescent="0.25">
      <c r="A81" s="270">
        <v>311</v>
      </c>
      <c r="B81" s="271"/>
      <c r="C81" s="272"/>
      <c r="D81" s="96" t="s">
        <v>113</v>
      </c>
      <c r="E81" s="105"/>
      <c r="F81" s="105">
        <f>F82</f>
        <v>0</v>
      </c>
      <c r="G81" s="38"/>
    </row>
    <row r="82" spans="1:9" ht="24.95" customHeight="1" x14ac:dyDescent="0.25">
      <c r="A82" s="273">
        <v>3111</v>
      </c>
      <c r="B82" s="274"/>
      <c r="C82" s="275"/>
      <c r="D82" s="96" t="s">
        <v>114</v>
      </c>
      <c r="E82" s="37"/>
      <c r="F82" s="37">
        <v>0</v>
      </c>
      <c r="G82" s="38"/>
    </row>
    <row r="83" spans="1:9" ht="24.95" customHeight="1" x14ac:dyDescent="0.25">
      <c r="A83" s="270">
        <v>312</v>
      </c>
      <c r="B83" s="271"/>
      <c r="C83" s="272"/>
      <c r="D83" s="96" t="s">
        <v>115</v>
      </c>
      <c r="E83" s="105"/>
      <c r="F83" s="105">
        <f>F84</f>
        <v>990</v>
      </c>
      <c r="G83" s="38"/>
    </row>
    <row r="84" spans="1:9" ht="24.95" customHeight="1" x14ac:dyDescent="0.25">
      <c r="A84" s="273">
        <v>3121</v>
      </c>
      <c r="B84" s="274"/>
      <c r="C84" s="275"/>
      <c r="D84" s="96" t="s">
        <v>115</v>
      </c>
      <c r="E84" s="37"/>
      <c r="F84" s="37">
        <v>990</v>
      </c>
      <c r="G84" s="38"/>
    </row>
    <row r="85" spans="1:9" ht="24.95" customHeight="1" x14ac:dyDescent="0.25">
      <c r="A85" s="258" t="s">
        <v>158</v>
      </c>
      <c r="B85" s="259"/>
      <c r="C85" s="260"/>
      <c r="D85" s="111" t="s">
        <v>32</v>
      </c>
      <c r="E85" s="119">
        <f>E86</f>
        <v>0</v>
      </c>
      <c r="F85" s="119">
        <f>F86</f>
        <v>0</v>
      </c>
      <c r="G85" s="56" t="e">
        <f>(F85/E85)*100</f>
        <v>#DIV/0!</v>
      </c>
    </row>
    <row r="86" spans="1:9" ht="24.95" customHeight="1" x14ac:dyDescent="0.25">
      <c r="A86" s="261">
        <v>3</v>
      </c>
      <c r="B86" s="262"/>
      <c r="C86" s="263"/>
      <c r="D86" s="112" t="s">
        <v>6</v>
      </c>
      <c r="E86" s="37">
        <f>E87+E92</f>
        <v>0</v>
      </c>
      <c r="F86" s="37">
        <f>F87+F92</f>
        <v>0</v>
      </c>
      <c r="G86" s="38"/>
    </row>
    <row r="87" spans="1:9" ht="24.95" customHeight="1" x14ac:dyDescent="0.25">
      <c r="A87" s="264">
        <v>31</v>
      </c>
      <c r="B87" s="265"/>
      <c r="C87" s="266"/>
      <c r="D87" s="123" t="s">
        <v>7</v>
      </c>
      <c r="E87" s="124"/>
      <c r="F87" s="124">
        <f>F88+F90</f>
        <v>0</v>
      </c>
      <c r="G87" s="125" t="e">
        <f>(F87/E87)*100</f>
        <v>#DIV/0!</v>
      </c>
    </row>
    <row r="88" spans="1:9" ht="24.95" customHeight="1" x14ac:dyDescent="0.25">
      <c r="A88" s="270">
        <v>311</v>
      </c>
      <c r="B88" s="271"/>
      <c r="C88" s="272"/>
      <c r="D88" s="96" t="s">
        <v>113</v>
      </c>
      <c r="E88" s="105">
        <f>E89</f>
        <v>0</v>
      </c>
      <c r="F88" s="105">
        <f>F89</f>
        <v>0</v>
      </c>
      <c r="G88" s="38"/>
    </row>
    <row r="89" spans="1:9" ht="24.95" customHeight="1" x14ac:dyDescent="0.25">
      <c r="A89" s="273">
        <v>3111</v>
      </c>
      <c r="B89" s="274"/>
      <c r="C89" s="275"/>
      <c r="D89" s="96" t="s">
        <v>114</v>
      </c>
      <c r="E89" s="37"/>
      <c r="F89" s="37">
        <v>0</v>
      </c>
      <c r="G89" s="38"/>
    </row>
    <row r="90" spans="1:9" ht="24.95" customHeight="1" x14ac:dyDescent="0.25">
      <c r="A90" s="270">
        <v>313</v>
      </c>
      <c r="B90" s="271"/>
      <c r="C90" s="272"/>
      <c r="D90" s="96" t="s">
        <v>116</v>
      </c>
      <c r="E90" s="105">
        <f>E91</f>
        <v>0</v>
      </c>
      <c r="F90" s="105">
        <f>F91</f>
        <v>0</v>
      </c>
      <c r="G90" s="38"/>
    </row>
    <row r="91" spans="1:9" ht="24.95" customHeight="1" x14ac:dyDescent="0.25">
      <c r="A91" s="273">
        <v>3132</v>
      </c>
      <c r="B91" s="274"/>
      <c r="C91" s="275"/>
      <c r="D91" s="96" t="s">
        <v>117</v>
      </c>
      <c r="E91" s="37"/>
      <c r="F91" s="37">
        <v>0</v>
      </c>
      <c r="G91" s="38"/>
    </row>
    <row r="92" spans="1:9" ht="24.95" customHeight="1" x14ac:dyDescent="0.25">
      <c r="A92" s="264">
        <v>32</v>
      </c>
      <c r="B92" s="265"/>
      <c r="C92" s="266"/>
      <c r="D92" s="123" t="s">
        <v>73</v>
      </c>
      <c r="E92" s="124"/>
      <c r="F92" s="124">
        <f>F93</f>
        <v>0</v>
      </c>
      <c r="G92" s="125" t="e">
        <f>(F92/E92)*100</f>
        <v>#DIV/0!</v>
      </c>
    </row>
    <row r="93" spans="1:9" ht="24.95" customHeight="1" x14ac:dyDescent="0.25">
      <c r="A93" s="270">
        <v>321</v>
      </c>
      <c r="B93" s="271"/>
      <c r="C93" s="272"/>
      <c r="D93" s="96" t="s">
        <v>118</v>
      </c>
      <c r="E93" s="105">
        <f>E94</f>
        <v>0</v>
      </c>
      <c r="F93" s="105">
        <f>F94</f>
        <v>0</v>
      </c>
      <c r="G93" s="38"/>
    </row>
    <row r="94" spans="1:9" ht="24.95" customHeight="1" x14ac:dyDescent="0.25">
      <c r="A94" s="273">
        <v>3212</v>
      </c>
      <c r="B94" s="274"/>
      <c r="C94" s="275"/>
      <c r="D94" s="96" t="s">
        <v>120</v>
      </c>
      <c r="E94" s="37"/>
      <c r="F94" s="37">
        <v>0</v>
      </c>
      <c r="G94" s="38"/>
    </row>
    <row r="95" spans="1:9" s="58" customFormat="1" ht="24.95" customHeight="1" x14ac:dyDescent="0.25">
      <c r="A95" s="258" t="s">
        <v>70</v>
      </c>
      <c r="B95" s="259"/>
      <c r="C95" s="260"/>
      <c r="D95" s="55" t="s">
        <v>67</v>
      </c>
      <c r="E95" s="56">
        <f>E96</f>
        <v>0</v>
      </c>
      <c r="F95" s="56">
        <f>F96</f>
        <v>0</v>
      </c>
      <c r="G95" s="56" t="e">
        <f>(F95/E95)*100</f>
        <v>#DIV/0!</v>
      </c>
      <c r="I95" s="116"/>
    </row>
    <row r="96" spans="1:9" ht="24.95" customHeight="1" x14ac:dyDescent="0.25">
      <c r="A96" s="261">
        <v>3</v>
      </c>
      <c r="B96" s="262"/>
      <c r="C96" s="263"/>
      <c r="D96" s="45" t="s">
        <v>6</v>
      </c>
      <c r="E96" s="37">
        <f>E97+E102</f>
        <v>0</v>
      </c>
      <c r="F96" s="37">
        <f>F97+F102</f>
        <v>0</v>
      </c>
      <c r="G96" s="37"/>
    </row>
    <row r="97" spans="1:9" ht="24.95" customHeight="1" x14ac:dyDescent="0.25">
      <c r="A97" s="264">
        <v>31</v>
      </c>
      <c r="B97" s="265"/>
      <c r="C97" s="266"/>
      <c r="D97" s="123" t="s">
        <v>7</v>
      </c>
      <c r="E97" s="124"/>
      <c r="F97" s="124">
        <f>F98+F100</f>
        <v>0</v>
      </c>
      <c r="G97" s="125" t="e">
        <f>(F97/E97)*100</f>
        <v>#DIV/0!</v>
      </c>
    </row>
    <row r="98" spans="1:9" ht="24.95" customHeight="1" x14ac:dyDescent="0.25">
      <c r="A98" s="270">
        <v>311</v>
      </c>
      <c r="B98" s="271"/>
      <c r="C98" s="272"/>
      <c r="D98" s="96" t="s">
        <v>113</v>
      </c>
      <c r="E98" s="105"/>
      <c r="F98" s="105">
        <f>F99</f>
        <v>0</v>
      </c>
      <c r="G98" s="38"/>
    </row>
    <row r="99" spans="1:9" ht="24.95" customHeight="1" x14ac:dyDescent="0.25">
      <c r="A99" s="273">
        <v>3111</v>
      </c>
      <c r="B99" s="274"/>
      <c r="C99" s="275"/>
      <c r="D99" s="96" t="s">
        <v>114</v>
      </c>
      <c r="E99" s="37"/>
      <c r="F99" s="37">
        <v>0</v>
      </c>
      <c r="G99" s="38"/>
    </row>
    <row r="100" spans="1:9" ht="24.95" customHeight="1" x14ac:dyDescent="0.25">
      <c r="A100" s="270">
        <v>313</v>
      </c>
      <c r="B100" s="271"/>
      <c r="C100" s="272"/>
      <c r="D100" s="96" t="s">
        <v>116</v>
      </c>
      <c r="E100" s="105">
        <f>E101</f>
        <v>0</v>
      </c>
      <c r="F100" s="105">
        <f>F101</f>
        <v>0</v>
      </c>
      <c r="G100" s="38"/>
    </row>
    <row r="101" spans="1:9" ht="24.95" customHeight="1" x14ac:dyDescent="0.25">
      <c r="A101" s="273">
        <v>3132</v>
      </c>
      <c r="B101" s="274"/>
      <c r="C101" s="275"/>
      <c r="D101" s="96" t="s">
        <v>117</v>
      </c>
      <c r="E101" s="37"/>
      <c r="F101" s="37">
        <v>0</v>
      </c>
      <c r="G101" s="38"/>
    </row>
    <row r="102" spans="1:9" ht="24.95" customHeight="1" x14ac:dyDescent="0.25">
      <c r="A102" s="264">
        <v>32</v>
      </c>
      <c r="B102" s="265"/>
      <c r="C102" s="266"/>
      <c r="D102" s="123" t="s">
        <v>73</v>
      </c>
      <c r="E102" s="124"/>
      <c r="F102" s="124">
        <f>F103</f>
        <v>0</v>
      </c>
      <c r="G102" s="125" t="e">
        <f>(F102/E102)*100</f>
        <v>#DIV/0!</v>
      </c>
    </row>
    <row r="103" spans="1:9" ht="24.95" customHeight="1" x14ac:dyDescent="0.25">
      <c r="A103" s="270">
        <v>321</v>
      </c>
      <c r="B103" s="271"/>
      <c r="C103" s="272"/>
      <c r="D103" s="96" t="s">
        <v>118</v>
      </c>
      <c r="E103" s="105"/>
      <c r="F103" s="105">
        <f>F104</f>
        <v>0</v>
      </c>
      <c r="G103" s="38"/>
    </row>
    <row r="104" spans="1:9" ht="24.95" customHeight="1" x14ac:dyDescent="0.25">
      <c r="A104" s="273">
        <v>3212</v>
      </c>
      <c r="B104" s="274"/>
      <c r="C104" s="275"/>
      <c r="D104" s="96" t="s">
        <v>120</v>
      </c>
      <c r="E104" s="37"/>
      <c r="F104" s="37">
        <v>0</v>
      </c>
      <c r="G104" s="38"/>
    </row>
    <row r="105" spans="1:9" s="58" customFormat="1" ht="24.95" customHeight="1" x14ac:dyDescent="0.25">
      <c r="A105" s="258" t="s">
        <v>56</v>
      </c>
      <c r="B105" s="259"/>
      <c r="C105" s="260"/>
      <c r="D105" s="55" t="s">
        <v>69</v>
      </c>
      <c r="E105" s="56">
        <f>E106</f>
        <v>2022642.09</v>
      </c>
      <c r="F105" s="56">
        <f>F106</f>
        <v>1948868.2899999998</v>
      </c>
      <c r="G105" s="56">
        <f>(F105/E105)*100</f>
        <v>96.352602352895744</v>
      </c>
      <c r="I105" s="116"/>
    </row>
    <row r="106" spans="1:9" ht="24.95" customHeight="1" x14ac:dyDescent="0.25">
      <c r="A106" s="261">
        <v>3</v>
      </c>
      <c r="B106" s="262"/>
      <c r="C106" s="263"/>
      <c r="D106" s="18" t="s">
        <v>6</v>
      </c>
      <c r="E106" s="37">
        <f>E107+E117</f>
        <v>2022642.09</v>
      </c>
      <c r="F106" s="37">
        <f>F107+F117</f>
        <v>1948868.2899999998</v>
      </c>
      <c r="G106" s="37"/>
    </row>
    <row r="107" spans="1:9" ht="24.95" customHeight="1" x14ac:dyDescent="0.25">
      <c r="A107" s="264">
        <v>31</v>
      </c>
      <c r="B107" s="265"/>
      <c r="C107" s="266"/>
      <c r="D107" s="123" t="s">
        <v>7</v>
      </c>
      <c r="E107" s="124">
        <f>1600000+124142.09+260000</f>
        <v>1984142.09</v>
      </c>
      <c r="F107" s="124">
        <f>F109+F111+F113+F115</f>
        <v>1914049.64</v>
      </c>
      <c r="G107" s="125">
        <f>(F107/E107)*100</f>
        <v>96.467367415203611</v>
      </c>
    </row>
    <row r="108" spans="1:9" ht="24.95" customHeight="1" x14ac:dyDescent="0.25">
      <c r="A108" s="46"/>
      <c r="B108" s="47"/>
      <c r="C108" s="48"/>
      <c r="D108" s="53" t="s">
        <v>74</v>
      </c>
      <c r="E108" s="54"/>
      <c r="F108" s="54">
        <f>F109+F111+F113</f>
        <v>1912550.98</v>
      </c>
      <c r="G108" s="64"/>
    </row>
    <row r="109" spans="1:9" ht="24.95" customHeight="1" x14ac:dyDescent="0.25">
      <c r="A109" s="270">
        <v>311</v>
      </c>
      <c r="B109" s="271"/>
      <c r="C109" s="272"/>
      <c r="D109" s="96" t="s">
        <v>113</v>
      </c>
      <c r="E109" s="122"/>
      <c r="F109" s="122">
        <f>F110</f>
        <v>1605288.16</v>
      </c>
      <c r="G109" s="64"/>
    </row>
    <row r="110" spans="1:9" ht="24.95" customHeight="1" x14ac:dyDescent="0.25">
      <c r="A110" s="273">
        <v>3111</v>
      </c>
      <c r="B110" s="274"/>
      <c r="C110" s="275"/>
      <c r="D110" s="96" t="s">
        <v>114</v>
      </c>
      <c r="E110" s="54"/>
      <c r="F110" s="54">
        <v>1605288.16</v>
      </c>
      <c r="G110" s="64"/>
    </row>
    <row r="111" spans="1:9" ht="24.95" customHeight="1" x14ac:dyDescent="0.25">
      <c r="A111" s="270">
        <v>312</v>
      </c>
      <c r="B111" s="271"/>
      <c r="C111" s="272"/>
      <c r="D111" s="96" t="s">
        <v>115</v>
      </c>
      <c r="E111" s="122"/>
      <c r="F111" s="122">
        <f>F112</f>
        <v>52789.75</v>
      </c>
      <c r="G111" s="64"/>
    </row>
    <row r="112" spans="1:9" ht="24.95" customHeight="1" x14ac:dyDescent="0.25">
      <c r="A112" s="273">
        <v>3121</v>
      </c>
      <c r="B112" s="274"/>
      <c r="C112" s="275"/>
      <c r="D112" s="96" t="s">
        <v>115</v>
      </c>
      <c r="E112" s="54"/>
      <c r="F112" s="54">
        <v>52789.75</v>
      </c>
      <c r="G112" s="64"/>
    </row>
    <row r="113" spans="1:9" ht="24.95" customHeight="1" x14ac:dyDescent="0.25">
      <c r="A113" s="270">
        <v>313</v>
      </c>
      <c r="B113" s="271"/>
      <c r="C113" s="272"/>
      <c r="D113" s="96" t="s">
        <v>116</v>
      </c>
      <c r="E113" s="122"/>
      <c r="F113" s="122">
        <f>F114</f>
        <v>254473.07</v>
      </c>
      <c r="G113" s="64"/>
    </row>
    <row r="114" spans="1:9" ht="24.95" customHeight="1" x14ac:dyDescent="0.25">
      <c r="A114" s="273">
        <v>3132</v>
      </c>
      <c r="B114" s="274"/>
      <c r="C114" s="275"/>
      <c r="D114" s="96" t="s">
        <v>117</v>
      </c>
      <c r="E114" s="54"/>
      <c r="F114" s="54">
        <v>254473.07</v>
      </c>
      <c r="G114" s="64"/>
    </row>
    <row r="115" spans="1:9" ht="24.95" customHeight="1" x14ac:dyDescent="0.25">
      <c r="A115" s="46"/>
      <c r="B115" s="47"/>
      <c r="C115" s="48"/>
      <c r="D115" s="53" t="s">
        <v>75</v>
      </c>
      <c r="E115" s="54"/>
      <c r="F115" s="122">
        <f>F116</f>
        <v>1498.66</v>
      </c>
      <c r="G115" s="64"/>
    </row>
    <row r="116" spans="1:9" ht="24.95" customHeight="1" x14ac:dyDescent="0.25">
      <c r="A116" s="273">
        <v>3121</v>
      </c>
      <c r="B116" s="274"/>
      <c r="C116" s="275"/>
      <c r="D116" s="96" t="s">
        <v>115</v>
      </c>
      <c r="E116" s="54"/>
      <c r="F116" s="54">
        <v>1498.66</v>
      </c>
      <c r="G116" s="64"/>
    </row>
    <row r="117" spans="1:9" ht="24.95" customHeight="1" x14ac:dyDescent="0.25">
      <c r="A117" s="264">
        <v>32</v>
      </c>
      <c r="B117" s="265"/>
      <c r="C117" s="266"/>
      <c r="D117" s="123" t="s">
        <v>14</v>
      </c>
      <c r="E117" s="124">
        <f>E118+E120+E123</f>
        <v>38500</v>
      </c>
      <c r="F117" s="124">
        <f>F118+F120+F122</f>
        <v>34818.65</v>
      </c>
      <c r="G117" s="125">
        <f>(F117/E117)*100</f>
        <v>90.43805194805195</v>
      </c>
    </row>
    <row r="118" spans="1:9" ht="24.95" customHeight="1" x14ac:dyDescent="0.25">
      <c r="A118" s="46"/>
      <c r="B118" s="47"/>
      <c r="C118" s="48"/>
      <c r="D118" s="53" t="s">
        <v>76</v>
      </c>
      <c r="E118" s="54">
        <f>31700</f>
        <v>31700</v>
      </c>
      <c r="F118" s="54">
        <f>F119</f>
        <v>29932.19</v>
      </c>
      <c r="G118" s="64"/>
    </row>
    <row r="119" spans="1:9" ht="24.95" customHeight="1" x14ac:dyDescent="0.25">
      <c r="A119" s="273">
        <v>3212</v>
      </c>
      <c r="B119" s="274"/>
      <c r="C119" s="275"/>
      <c r="D119" s="96" t="s">
        <v>120</v>
      </c>
      <c r="E119" s="54"/>
      <c r="F119" s="54">
        <v>29932.19</v>
      </c>
      <c r="G119" s="64"/>
    </row>
    <row r="120" spans="1:9" ht="24.95" customHeight="1" x14ac:dyDescent="0.25">
      <c r="A120" s="46"/>
      <c r="B120" s="47"/>
      <c r="C120" s="48"/>
      <c r="D120" s="53" t="s">
        <v>77</v>
      </c>
      <c r="E120" s="54">
        <f>5500</f>
        <v>5500</v>
      </c>
      <c r="F120" s="54">
        <f>F121</f>
        <v>3715.66</v>
      </c>
      <c r="G120" s="64"/>
    </row>
    <row r="121" spans="1:9" ht="24.95" customHeight="1" x14ac:dyDescent="0.25">
      <c r="A121" s="273">
        <v>3295</v>
      </c>
      <c r="B121" s="274"/>
      <c r="C121" s="275"/>
      <c r="D121" s="97" t="s">
        <v>144</v>
      </c>
      <c r="E121" s="54"/>
      <c r="F121" s="54">
        <v>3715.66</v>
      </c>
      <c r="G121" s="64"/>
    </row>
    <row r="122" spans="1:9" ht="24.95" customHeight="1" x14ac:dyDescent="0.25">
      <c r="A122" s="46"/>
      <c r="B122" s="47"/>
      <c r="C122" s="48"/>
      <c r="D122" s="53" t="s">
        <v>78</v>
      </c>
      <c r="E122" s="54"/>
      <c r="F122" s="54">
        <f>F123</f>
        <v>1170.8</v>
      </c>
      <c r="G122" s="64"/>
    </row>
    <row r="123" spans="1:9" ht="24.95" customHeight="1" x14ac:dyDescent="0.25">
      <c r="A123" s="273">
        <v>3237</v>
      </c>
      <c r="B123" s="274"/>
      <c r="C123" s="275"/>
      <c r="D123" s="96" t="s">
        <v>133</v>
      </c>
      <c r="E123" s="54">
        <v>1300</v>
      </c>
      <c r="F123" s="54">
        <v>1170.8</v>
      </c>
      <c r="G123" s="64"/>
    </row>
    <row r="124" spans="1:9" s="58" customFormat="1" ht="24.95" customHeight="1" x14ac:dyDescent="0.25">
      <c r="A124" s="258" t="s">
        <v>61</v>
      </c>
      <c r="B124" s="259"/>
      <c r="C124" s="260"/>
      <c r="D124" s="55" t="s">
        <v>31</v>
      </c>
      <c r="E124" s="56">
        <f>E125</f>
        <v>0</v>
      </c>
      <c r="F124" s="56">
        <f t="shared" ref="F124:F125" si="13">F125</f>
        <v>0</v>
      </c>
      <c r="G124" s="56" t="e">
        <f>(F124/E124)*100</f>
        <v>#DIV/0!</v>
      </c>
      <c r="I124" s="116"/>
    </row>
    <row r="125" spans="1:9" ht="24.95" customHeight="1" x14ac:dyDescent="0.25">
      <c r="A125" s="261">
        <v>3</v>
      </c>
      <c r="B125" s="262"/>
      <c r="C125" s="263"/>
      <c r="D125" s="45" t="s">
        <v>6</v>
      </c>
      <c r="E125" s="37">
        <f>E126</f>
        <v>0</v>
      </c>
      <c r="F125" s="37">
        <f t="shared" si="13"/>
        <v>0</v>
      </c>
      <c r="G125" s="37"/>
    </row>
    <row r="126" spans="1:9" ht="24.95" customHeight="1" x14ac:dyDescent="0.25">
      <c r="A126" s="264">
        <v>31</v>
      </c>
      <c r="B126" s="265"/>
      <c r="C126" s="266"/>
      <c r="D126" s="123" t="s">
        <v>84</v>
      </c>
      <c r="E126" s="124"/>
      <c r="F126" s="124"/>
      <c r="G126" s="125" t="e">
        <f>(F126/E126)*100</f>
        <v>#DIV/0!</v>
      </c>
    </row>
    <row r="127" spans="1:9" ht="24.95" customHeight="1" x14ac:dyDescent="0.25">
      <c r="A127" s="267" t="s">
        <v>41</v>
      </c>
      <c r="B127" s="268"/>
      <c r="C127" s="269"/>
      <c r="D127" s="44" t="s">
        <v>42</v>
      </c>
      <c r="E127" s="51">
        <f>E128+E138+E156+E180+E205+E228+E241+E251+E197+E187</f>
        <v>351004.30000000005</v>
      </c>
      <c r="F127" s="51">
        <f>F128+F138+F156+F180+F205+F228+F241+F251+F197+F187</f>
        <v>186291.88000000003</v>
      </c>
      <c r="G127" s="51"/>
    </row>
    <row r="128" spans="1:9" s="59" customFormat="1" ht="24.95" customHeight="1" x14ac:dyDescent="0.2">
      <c r="A128" s="258" t="s">
        <v>58</v>
      </c>
      <c r="B128" s="259"/>
      <c r="C128" s="260"/>
      <c r="D128" s="55" t="s">
        <v>59</v>
      </c>
      <c r="E128" s="56">
        <f>E129</f>
        <v>2470</v>
      </c>
      <c r="F128" s="56">
        <f t="shared" ref="F128" si="14">F129</f>
        <v>0</v>
      </c>
      <c r="G128" s="56">
        <f>(F128/E128)*100</f>
        <v>0</v>
      </c>
      <c r="I128" s="117"/>
    </row>
    <row r="129" spans="1:9" ht="24.95" customHeight="1" x14ac:dyDescent="0.25">
      <c r="A129" s="261">
        <v>3</v>
      </c>
      <c r="B129" s="262"/>
      <c r="C129" s="263"/>
      <c r="D129" s="18" t="s">
        <v>6</v>
      </c>
      <c r="E129" s="37">
        <f>E130+E137</f>
        <v>2470</v>
      </c>
      <c r="F129" s="37">
        <f>F130+F137</f>
        <v>0</v>
      </c>
      <c r="G129" s="37"/>
    </row>
    <row r="130" spans="1:9" ht="24.95" customHeight="1" x14ac:dyDescent="0.25">
      <c r="A130" s="264">
        <v>32</v>
      </c>
      <c r="B130" s="265"/>
      <c r="C130" s="266"/>
      <c r="D130" s="123" t="s">
        <v>86</v>
      </c>
      <c r="E130" s="124">
        <f>100+100+100+200+600+100+50+100+100+320+200+100+300</f>
        <v>2370</v>
      </c>
      <c r="F130" s="124">
        <f>SUM(F131:F136)</f>
        <v>0</v>
      </c>
      <c r="G130" s="125">
        <f>(F130/E130)*100</f>
        <v>0</v>
      </c>
    </row>
    <row r="131" spans="1:9" ht="24.95" customHeight="1" x14ac:dyDescent="0.25">
      <c r="A131" s="273">
        <v>3221</v>
      </c>
      <c r="B131" s="274"/>
      <c r="C131" s="275"/>
      <c r="D131" s="96" t="s">
        <v>124</v>
      </c>
      <c r="E131" s="37"/>
      <c r="F131" s="37">
        <v>0</v>
      </c>
      <c r="G131" s="56"/>
    </row>
    <row r="132" spans="1:9" ht="24.95" customHeight="1" x14ac:dyDescent="0.25">
      <c r="A132" s="273">
        <v>3231</v>
      </c>
      <c r="B132" s="274"/>
      <c r="C132" s="275"/>
      <c r="D132" s="96" t="s">
        <v>129</v>
      </c>
      <c r="E132" s="37"/>
      <c r="F132" s="37">
        <v>0</v>
      </c>
      <c r="G132" s="56"/>
    </row>
    <row r="133" spans="1:9" ht="24.95" customHeight="1" x14ac:dyDescent="0.25">
      <c r="A133" s="273">
        <v>3234</v>
      </c>
      <c r="B133" s="274"/>
      <c r="C133" s="275"/>
      <c r="D133" s="96" t="s">
        <v>132</v>
      </c>
      <c r="E133" s="37"/>
      <c r="F133" s="37">
        <v>0</v>
      </c>
      <c r="G133" s="56"/>
    </row>
    <row r="134" spans="1:9" ht="24.95" customHeight="1" x14ac:dyDescent="0.25">
      <c r="A134" s="273">
        <v>3238</v>
      </c>
      <c r="B134" s="274"/>
      <c r="C134" s="275"/>
      <c r="D134" s="96" t="s">
        <v>134</v>
      </c>
      <c r="E134" s="37"/>
      <c r="F134" s="37">
        <v>0</v>
      </c>
      <c r="G134" s="56"/>
    </row>
    <row r="135" spans="1:9" ht="24.95" customHeight="1" x14ac:dyDescent="0.25">
      <c r="A135" s="273">
        <v>3239</v>
      </c>
      <c r="B135" s="274"/>
      <c r="C135" s="275"/>
      <c r="D135" s="96" t="s">
        <v>135</v>
      </c>
      <c r="E135" s="37"/>
      <c r="F135" s="37">
        <v>0</v>
      </c>
      <c r="G135" s="56"/>
    </row>
    <row r="136" spans="1:9" ht="24.95" customHeight="1" x14ac:dyDescent="0.25">
      <c r="A136" s="273">
        <v>3299</v>
      </c>
      <c r="B136" s="274"/>
      <c r="C136" s="275"/>
      <c r="D136" s="96" t="s">
        <v>136</v>
      </c>
      <c r="E136" s="37"/>
      <c r="F136" s="37">
        <v>0</v>
      </c>
      <c r="G136" s="56"/>
    </row>
    <row r="137" spans="1:9" ht="36.75" customHeight="1" x14ac:dyDescent="0.25">
      <c r="A137" s="264">
        <v>37</v>
      </c>
      <c r="B137" s="265"/>
      <c r="C137" s="266"/>
      <c r="D137" s="127" t="s">
        <v>87</v>
      </c>
      <c r="E137" s="124">
        <f>100</f>
        <v>100</v>
      </c>
      <c r="F137" s="124"/>
      <c r="G137" s="125">
        <f>(F137/E137)*100</f>
        <v>0</v>
      </c>
    </row>
    <row r="138" spans="1:9" s="59" customFormat="1" ht="24.95" customHeight="1" x14ac:dyDescent="0.2">
      <c r="A138" s="258" t="s">
        <v>80</v>
      </c>
      <c r="B138" s="259"/>
      <c r="C138" s="260"/>
      <c r="D138" s="55" t="s">
        <v>63</v>
      </c>
      <c r="E138" s="56">
        <f>E139</f>
        <v>2151.9899999999998</v>
      </c>
      <c r="F138" s="56">
        <f>F139</f>
        <v>1186.57</v>
      </c>
      <c r="G138" s="56">
        <f>(F138/E138)*100</f>
        <v>55.138267371130908</v>
      </c>
      <c r="I138" s="117"/>
    </row>
    <row r="139" spans="1:9" ht="24.95" customHeight="1" x14ac:dyDescent="0.25">
      <c r="A139" s="264">
        <v>32</v>
      </c>
      <c r="B139" s="265"/>
      <c r="C139" s="266"/>
      <c r="D139" s="123" t="s">
        <v>14</v>
      </c>
      <c r="E139" s="124">
        <f>300+50+500+359.04+100+300+192.95+300+50</f>
        <v>2151.9899999999998</v>
      </c>
      <c r="F139" s="124">
        <f>F140+F142+F144+F148+F150</f>
        <v>1186.57</v>
      </c>
      <c r="G139" s="125">
        <f>(F139/E139)*100</f>
        <v>55.138267371130908</v>
      </c>
    </row>
    <row r="140" spans="1:9" ht="24.95" customHeight="1" x14ac:dyDescent="0.25">
      <c r="A140" s="270">
        <v>321</v>
      </c>
      <c r="B140" s="271"/>
      <c r="C140" s="272"/>
      <c r="D140" s="96" t="s">
        <v>118</v>
      </c>
      <c r="E140" s="105"/>
      <c r="F140" s="105">
        <f>F141</f>
        <v>15</v>
      </c>
      <c r="G140" s="56"/>
    </row>
    <row r="141" spans="1:9" ht="24.95" customHeight="1" x14ac:dyDescent="0.25">
      <c r="A141" s="273">
        <v>3213</v>
      </c>
      <c r="B141" s="274"/>
      <c r="C141" s="275"/>
      <c r="D141" s="96" t="s">
        <v>121</v>
      </c>
      <c r="E141" s="37"/>
      <c r="F141" s="37">
        <v>15</v>
      </c>
      <c r="G141" s="56"/>
    </row>
    <row r="142" spans="1:9" ht="24.95" customHeight="1" x14ac:dyDescent="0.25">
      <c r="A142" s="270">
        <v>322</v>
      </c>
      <c r="B142" s="271"/>
      <c r="C142" s="272"/>
      <c r="D142" s="96" t="s">
        <v>123</v>
      </c>
      <c r="E142" s="105"/>
      <c r="F142" s="105">
        <f>F143</f>
        <v>87.320000000000007</v>
      </c>
      <c r="G142" s="56"/>
    </row>
    <row r="143" spans="1:9" ht="24.95" customHeight="1" x14ac:dyDescent="0.25">
      <c r="A143" s="273">
        <v>3221</v>
      </c>
      <c r="B143" s="274"/>
      <c r="C143" s="275"/>
      <c r="D143" s="96" t="s">
        <v>124</v>
      </c>
      <c r="E143" s="37"/>
      <c r="F143" s="37">
        <f>13.4+73.92</f>
        <v>87.320000000000007</v>
      </c>
      <c r="G143" s="56"/>
    </row>
    <row r="144" spans="1:9" ht="24.95" customHeight="1" x14ac:dyDescent="0.25">
      <c r="A144" s="270">
        <v>323</v>
      </c>
      <c r="B144" s="271"/>
      <c r="C144" s="272"/>
      <c r="D144" s="96" t="s">
        <v>128</v>
      </c>
      <c r="E144" s="105"/>
      <c r="F144" s="105">
        <f>F147+F145+F146</f>
        <v>169.25</v>
      </c>
      <c r="G144" s="56"/>
    </row>
    <row r="145" spans="1:9" ht="24.95" customHeight="1" x14ac:dyDescent="0.25">
      <c r="A145" s="273">
        <v>3231</v>
      </c>
      <c r="B145" s="274"/>
      <c r="C145" s="275"/>
      <c r="D145" s="96" t="s">
        <v>129</v>
      </c>
      <c r="E145" s="105"/>
      <c r="F145" s="37">
        <v>0</v>
      </c>
      <c r="G145" s="56"/>
    </row>
    <row r="146" spans="1:9" ht="24.95" customHeight="1" x14ac:dyDescent="0.25">
      <c r="A146" s="273">
        <v>3238</v>
      </c>
      <c r="B146" s="274"/>
      <c r="C146" s="275"/>
      <c r="D146" s="96" t="s">
        <v>134</v>
      </c>
      <c r="E146" s="105"/>
      <c r="F146" s="37">
        <v>0</v>
      </c>
      <c r="G146" s="56"/>
    </row>
    <row r="147" spans="1:9" ht="24.95" customHeight="1" x14ac:dyDescent="0.25">
      <c r="A147" s="273">
        <v>3239</v>
      </c>
      <c r="B147" s="274"/>
      <c r="C147" s="275"/>
      <c r="D147" s="96" t="s">
        <v>135</v>
      </c>
      <c r="E147" s="37"/>
      <c r="F147" s="37">
        <f>169.25</f>
        <v>169.25</v>
      </c>
      <c r="G147" s="56"/>
    </row>
    <row r="148" spans="1:9" ht="24.95" customHeight="1" x14ac:dyDescent="0.25">
      <c r="A148" s="270">
        <v>324</v>
      </c>
      <c r="B148" s="271"/>
      <c r="C148" s="272"/>
      <c r="D148" s="96" t="s">
        <v>140</v>
      </c>
      <c r="E148" s="105"/>
      <c r="F148" s="105">
        <f>F149</f>
        <v>0</v>
      </c>
      <c r="G148" s="56"/>
    </row>
    <row r="149" spans="1:9" ht="24.95" customHeight="1" x14ac:dyDescent="0.25">
      <c r="A149" s="273">
        <v>3241</v>
      </c>
      <c r="B149" s="274"/>
      <c r="C149" s="275"/>
      <c r="D149" s="96" t="s">
        <v>140</v>
      </c>
      <c r="E149" s="37"/>
      <c r="F149" s="37">
        <v>0</v>
      </c>
      <c r="G149" s="56"/>
    </row>
    <row r="150" spans="1:9" ht="24.95" customHeight="1" x14ac:dyDescent="0.25">
      <c r="A150" s="270">
        <v>329</v>
      </c>
      <c r="B150" s="271"/>
      <c r="C150" s="272"/>
      <c r="D150" s="96" t="s">
        <v>136</v>
      </c>
      <c r="E150" s="105"/>
      <c r="F150" s="105">
        <f>SUM(F151:F155)</f>
        <v>915</v>
      </c>
      <c r="G150" s="56"/>
    </row>
    <row r="151" spans="1:9" ht="24.95" customHeight="1" x14ac:dyDescent="0.25">
      <c r="A151" s="273">
        <v>3292</v>
      </c>
      <c r="B151" s="274"/>
      <c r="C151" s="275"/>
      <c r="D151" s="96" t="s">
        <v>137</v>
      </c>
      <c r="E151" s="37"/>
      <c r="F151" s="37">
        <v>0</v>
      </c>
      <c r="G151" s="56"/>
    </row>
    <row r="152" spans="1:9" ht="24.95" customHeight="1" x14ac:dyDescent="0.25">
      <c r="A152" s="273">
        <v>3293</v>
      </c>
      <c r="B152" s="274"/>
      <c r="C152" s="275"/>
      <c r="D152" s="96" t="s">
        <v>138</v>
      </c>
      <c r="E152" s="37"/>
      <c r="F152" s="37">
        <v>0</v>
      </c>
      <c r="G152" s="56"/>
    </row>
    <row r="153" spans="1:9" ht="24.95" customHeight="1" x14ac:dyDescent="0.25">
      <c r="A153" s="273">
        <v>3294</v>
      </c>
      <c r="B153" s="274"/>
      <c r="C153" s="275"/>
      <c r="D153" s="96" t="s">
        <v>139</v>
      </c>
      <c r="E153" s="37"/>
      <c r="F153" s="37">
        <f>20+25</f>
        <v>45</v>
      </c>
      <c r="G153" s="56"/>
    </row>
    <row r="154" spans="1:9" ht="24.95" customHeight="1" x14ac:dyDescent="0.25">
      <c r="A154" s="273">
        <v>3295</v>
      </c>
      <c r="B154" s="274"/>
      <c r="C154" s="275"/>
      <c r="D154" s="96" t="s">
        <v>144</v>
      </c>
      <c r="E154" s="37"/>
      <c r="F154" s="37">
        <v>0</v>
      </c>
      <c r="G154" s="56"/>
    </row>
    <row r="155" spans="1:9" ht="24.95" customHeight="1" x14ac:dyDescent="0.25">
      <c r="A155" s="273">
        <v>3299</v>
      </c>
      <c r="B155" s="274"/>
      <c r="C155" s="275"/>
      <c r="D155" s="96" t="s">
        <v>136</v>
      </c>
      <c r="E155" s="37"/>
      <c r="F155" s="37">
        <v>870</v>
      </c>
      <c r="G155" s="56"/>
    </row>
    <row r="156" spans="1:9" s="59" customFormat="1" ht="24.95" customHeight="1" x14ac:dyDescent="0.2">
      <c r="A156" s="258" t="s">
        <v>60</v>
      </c>
      <c r="B156" s="259"/>
      <c r="C156" s="260"/>
      <c r="D156" s="55" t="s">
        <v>88</v>
      </c>
      <c r="E156" s="56">
        <f>E157</f>
        <v>80550</v>
      </c>
      <c r="F156" s="56">
        <f>F157</f>
        <v>34360.39</v>
      </c>
      <c r="G156" s="56">
        <f>(F156/E156)*100</f>
        <v>42.657219118559901</v>
      </c>
      <c r="I156" s="117"/>
    </row>
    <row r="157" spans="1:9" ht="24.95" customHeight="1" x14ac:dyDescent="0.25">
      <c r="A157" s="261">
        <v>3</v>
      </c>
      <c r="B157" s="262"/>
      <c r="C157" s="263"/>
      <c r="D157" s="18" t="s">
        <v>6</v>
      </c>
      <c r="E157" s="37">
        <f>E158+E178</f>
        <v>80550</v>
      </c>
      <c r="F157" s="37">
        <f>F158+F178</f>
        <v>34360.39</v>
      </c>
      <c r="G157" s="37"/>
    </row>
    <row r="158" spans="1:9" ht="24.95" customHeight="1" x14ac:dyDescent="0.25">
      <c r="A158" s="264">
        <v>32</v>
      </c>
      <c r="B158" s="265"/>
      <c r="C158" s="266"/>
      <c r="D158" s="123" t="s">
        <v>14</v>
      </c>
      <c r="E158" s="124">
        <f>400+12050+45000+1000+3400+3300+100+2000+500+5000+1000+1200+1000+3800+300</f>
        <v>80050</v>
      </c>
      <c r="F158" s="124">
        <f>F159+F161+F166+F175</f>
        <v>34360.39</v>
      </c>
      <c r="G158" s="125">
        <f>(F158/E158)*100</f>
        <v>42.923660212367274</v>
      </c>
    </row>
    <row r="159" spans="1:9" ht="24.95" customHeight="1" x14ac:dyDescent="0.25">
      <c r="A159" s="270">
        <v>321</v>
      </c>
      <c r="B159" s="271"/>
      <c r="C159" s="272"/>
      <c r="D159" s="96" t="s">
        <v>118</v>
      </c>
      <c r="E159" s="105"/>
      <c r="F159" s="105">
        <f>F160</f>
        <v>36.5</v>
      </c>
      <c r="G159" s="56"/>
    </row>
    <row r="160" spans="1:9" ht="24.95" customHeight="1" x14ac:dyDescent="0.25">
      <c r="A160" s="273">
        <v>3213</v>
      </c>
      <c r="B160" s="274"/>
      <c r="C160" s="275"/>
      <c r="D160" s="96" t="s">
        <v>121</v>
      </c>
      <c r="E160" s="37"/>
      <c r="F160" s="37">
        <v>36.5</v>
      </c>
      <c r="G160" s="56"/>
    </row>
    <row r="161" spans="1:7" ht="24.95" customHeight="1" x14ac:dyDescent="0.25">
      <c r="A161" s="270">
        <v>322</v>
      </c>
      <c r="B161" s="271"/>
      <c r="C161" s="272"/>
      <c r="D161" s="96" t="s">
        <v>123</v>
      </c>
      <c r="E161" s="105"/>
      <c r="F161" s="105">
        <f>SUM(F162:F165)</f>
        <v>28609.85</v>
      </c>
      <c r="G161" s="56"/>
    </row>
    <row r="162" spans="1:7" ht="24.95" customHeight="1" x14ac:dyDescent="0.25">
      <c r="A162" s="273">
        <v>3221</v>
      </c>
      <c r="B162" s="274"/>
      <c r="C162" s="275"/>
      <c r="D162" s="96" t="s">
        <v>124</v>
      </c>
      <c r="E162" s="37"/>
      <c r="F162" s="37">
        <v>4837.63</v>
      </c>
      <c r="G162" s="56"/>
    </row>
    <row r="163" spans="1:7" ht="24.95" customHeight="1" x14ac:dyDescent="0.25">
      <c r="A163" s="273">
        <v>3222</v>
      </c>
      <c r="B163" s="274"/>
      <c r="C163" s="275"/>
      <c r="D163" s="96" t="s">
        <v>125</v>
      </c>
      <c r="E163" s="37"/>
      <c r="F163" s="37">
        <v>23181.78</v>
      </c>
      <c r="G163" s="56"/>
    </row>
    <row r="164" spans="1:7" ht="24.95" customHeight="1" x14ac:dyDescent="0.25">
      <c r="A164" s="273">
        <v>3225</v>
      </c>
      <c r="B164" s="274"/>
      <c r="C164" s="275"/>
      <c r="D164" s="96" t="s">
        <v>127</v>
      </c>
      <c r="E164" s="37"/>
      <c r="F164" s="37">
        <v>0</v>
      </c>
      <c r="G164" s="56"/>
    </row>
    <row r="165" spans="1:7" ht="24.95" customHeight="1" x14ac:dyDescent="0.25">
      <c r="A165" s="273">
        <v>3227</v>
      </c>
      <c r="B165" s="274"/>
      <c r="C165" s="275"/>
      <c r="D165" s="96" t="s">
        <v>141</v>
      </c>
      <c r="E165" s="37"/>
      <c r="F165" s="37">
        <v>590.44000000000005</v>
      </c>
      <c r="G165" s="56"/>
    </row>
    <row r="166" spans="1:7" ht="24.95" customHeight="1" x14ac:dyDescent="0.25">
      <c r="A166" s="270">
        <v>323</v>
      </c>
      <c r="B166" s="271"/>
      <c r="C166" s="272"/>
      <c r="D166" s="96" t="s">
        <v>128</v>
      </c>
      <c r="E166" s="105"/>
      <c r="F166" s="105">
        <f>SUM(F167:F174)</f>
        <v>5663.85</v>
      </c>
      <c r="G166" s="56"/>
    </row>
    <row r="167" spans="1:7" ht="24.95" customHeight="1" x14ac:dyDescent="0.25">
      <c r="A167" s="273">
        <v>3231</v>
      </c>
      <c r="B167" s="274"/>
      <c r="C167" s="275"/>
      <c r="D167" s="96" t="s">
        <v>129</v>
      </c>
      <c r="E167" s="105"/>
      <c r="F167" s="37">
        <v>0</v>
      </c>
      <c r="G167" s="56"/>
    </row>
    <row r="168" spans="1:7" ht="24.95" customHeight="1" x14ac:dyDescent="0.25">
      <c r="A168" s="273">
        <v>3232</v>
      </c>
      <c r="B168" s="274"/>
      <c r="C168" s="275"/>
      <c r="D168" s="96" t="s">
        <v>130</v>
      </c>
      <c r="E168" s="37"/>
      <c r="F168" s="37">
        <v>0</v>
      </c>
      <c r="G168" s="56"/>
    </row>
    <row r="169" spans="1:7" ht="24.95" customHeight="1" x14ac:dyDescent="0.25">
      <c r="A169" s="273">
        <v>3233</v>
      </c>
      <c r="B169" s="274"/>
      <c r="C169" s="275"/>
      <c r="D169" s="96" t="s">
        <v>131</v>
      </c>
      <c r="E169" s="37"/>
      <c r="F169" s="37">
        <v>497.7</v>
      </c>
      <c r="G169" s="56"/>
    </row>
    <row r="170" spans="1:7" ht="24.95" customHeight="1" x14ac:dyDescent="0.25">
      <c r="A170" s="273">
        <v>3234</v>
      </c>
      <c r="B170" s="274"/>
      <c r="C170" s="275"/>
      <c r="D170" s="96" t="s">
        <v>132</v>
      </c>
      <c r="E170" s="37"/>
      <c r="F170" s="37">
        <v>1758.11</v>
      </c>
      <c r="G170" s="56"/>
    </row>
    <row r="171" spans="1:7" ht="24.95" customHeight="1" x14ac:dyDescent="0.25">
      <c r="A171" s="273">
        <v>3236</v>
      </c>
      <c r="B171" s="274"/>
      <c r="C171" s="275"/>
      <c r="D171" s="97" t="s">
        <v>142</v>
      </c>
      <c r="E171" s="37"/>
      <c r="F171" s="37">
        <v>188.8</v>
      </c>
      <c r="G171" s="56"/>
    </row>
    <row r="172" spans="1:7" ht="24.95" customHeight="1" x14ac:dyDescent="0.25">
      <c r="A172" s="273">
        <v>3237</v>
      </c>
      <c r="B172" s="274"/>
      <c r="C172" s="275"/>
      <c r="D172" s="96" t="s">
        <v>133</v>
      </c>
      <c r="E172" s="37"/>
      <c r="F172" s="37">
        <v>0</v>
      </c>
      <c r="G172" s="56"/>
    </row>
    <row r="173" spans="1:7" ht="24.95" customHeight="1" x14ac:dyDescent="0.25">
      <c r="A173" s="273">
        <v>3238</v>
      </c>
      <c r="B173" s="274"/>
      <c r="C173" s="275"/>
      <c r="D173" s="97" t="s">
        <v>134</v>
      </c>
      <c r="E173" s="37"/>
      <c r="F173" s="37">
        <v>0</v>
      </c>
      <c r="G173" s="56"/>
    </row>
    <row r="174" spans="1:7" ht="24.95" customHeight="1" x14ac:dyDescent="0.25">
      <c r="A174" s="273">
        <v>3239</v>
      </c>
      <c r="B174" s="274"/>
      <c r="C174" s="275"/>
      <c r="D174" s="96" t="s">
        <v>135</v>
      </c>
      <c r="E174" s="37"/>
      <c r="F174" s="37">
        <v>3219.24</v>
      </c>
      <c r="G174" s="56"/>
    </row>
    <row r="175" spans="1:7" ht="24.95" customHeight="1" x14ac:dyDescent="0.25">
      <c r="A175" s="270">
        <v>329</v>
      </c>
      <c r="B175" s="271"/>
      <c r="C175" s="272"/>
      <c r="D175" s="96" t="s">
        <v>136</v>
      </c>
      <c r="E175" s="105"/>
      <c r="F175" s="105">
        <f>F176+F177</f>
        <v>50.19</v>
      </c>
      <c r="G175" s="56"/>
    </row>
    <row r="176" spans="1:7" ht="24.95" customHeight="1" x14ac:dyDescent="0.25">
      <c r="A176" s="273">
        <v>3291</v>
      </c>
      <c r="B176" s="274"/>
      <c r="C176" s="275"/>
      <c r="D176" s="96" t="s">
        <v>143</v>
      </c>
      <c r="E176" s="37"/>
      <c r="F176" s="37">
        <v>50.19</v>
      </c>
      <c r="G176" s="56"/>
    </row>
    <row r="177" spans="1:9" ht="24.95" customHeight="1" x14ac:dyDescent="0.25">
      <c r="A177" s="273">
        <v>3293</v>
      </c>
      <c r="B177" s="274"/>
      <c r="C177" s="275"/>
      <c r="D177" s="96" t="s">
        <v>138</v>
      </c>
      <c r="E177" s="37"/>
      <c r="F177" s="37">
        <v>0</v>
      </c>
      <c r="G177" s="56"/>
    </row>
    <row r="178" spans="1:9" ht="24.95" customHeight="1" x14ac:dyDescent="0.25">
      <c r="A178" s="264">
        <v>37</v>
      </c>
      <c r="B178" s="265"/>
      <c r="C178" s="266"/>
      <c r="D178" s="127" t="s">
        <v>22</v>
      </c>
      <c r="E178" s="124">
        <f>500</f>
        <v>500</v>
      </c>
      <c r="F178" s="124">
        <f>F179</f>
        <v>0</v>
      </c>
      <c r="G178" s="125">
        <f>(F178/E178)*100</f>
        <v>0</v>
      </c>
    </row>
    <row r="179" spans="1:9" ht="24.95" customHeight="1" x14ac:dyDescent="0.25">
      <c r="A179" s="273">
        <v>3722</v>
      </c>
      <c r="B179" s="274"/>
      <c r="C179" s="275"/>
      <c r="D179" s="96" t="s">
        <v>150</v>
      </c>
      <c r="E179" s="37"/>
      <c r="F179" s="37"/>
      <c r="G179" s="56"/>
    </row>
    <row r="180" spans="1:9" s="59" customFormat="1" ht="24.95" customHeight="1" x14ac:dyDescent="0.2">
      <c r="A180" s="258" t="s">
        <v>81</v>
      </c>
      <c r="B180" s="259"/>
      <c r="C180" s="260"/>
      <c r="D180" s="55" t="s">
        <v>65</v>
      </c>
      <c r="E180" s="56">
        <f>E181</f>
        <v>7808.37</v>
      </c>
      <c r="F180" s="56">
        <f t="shared" ref="F180" si="15">F181</f>
        <v>5339.13</v>
      </c>
      <c r="G180" s="56">
        <f>(F180/E180)*100</f>
        <v>68.37701082300147</v>
      </c>
      <c r="I180" s="117"/>
    </row>
    <row r="181" spans="1:9" ht="24.95" customHeight="1" x14ac:dyDescent="0.25">
      <c r="A181" s="264">
        <v>32</v>
      </c>
      <c r="B181" s="265"/>
      <c r="C181" s="266"/>
      <c r="D181" s="123" t="s">
        <v>14</v>
      </c>
      <c r="E181" s="124">
        <f>3317.88+4490.49</f>
        <v>7808.37</v>
      </c>
      <c r="F181" s="124">
        <f>F182+F184</f>
        <v>5339.13</v>
      </c>
      <c r="G181" s="125">
        <f>(F181/E181)*100</f>
        <v>68.37701082300147</v>
      </c>
    </row>
    <row r="182" spans="1:9" ht="24.95" customHeight="1" x14ac:dyDescent="0.25">
      <c r="A182" s="270">
        <v>322</v>
      </c>
      <c r="B182" s="271"/>
      <c r="C182" s="272"/>
      <c r="D182" s="96" t="s">
        <v>123</v>
      </c>
      <c r="E182" s="105"/>
      <c r="F182" s="105">
        <f>F183</f>
        <v>0</v>
      </c>
      <c r="G182" s="56"/>
    </row>
    <row r="183" spans="1:9" ht="24.95" customHeight="1" x14ac:dyDescent="0.25">
      <c r="A183" s="273">
        <v>3221</v>
      </c>
      <c r="B183" s="274"/>
      <c r="C183" s="275"/>
      <c r="D183" s="96" t="s">
        <v>124</v>
      </c>
      <c r="E183" s="37"/>
      <c r="F183" s="37">
        <v>0</v>
      </c>
      <c r="G183" s="56"/>
    </row>
    <row r="184" spans="1:9" ht="24.95" customHeight="1" x14ac:dyDescent="0.25">
      <c r="A184" s="270">
        <v>323</v>
      </c>
      <c r="B184" s="271"/>
      <c r="C184" s="272"/>
      <c r="D184" s="96" t="s">
        <v>128</v>
      </c>
      <c r="E184" s="105"/>
      <c r="F184" s="105">
        <f>F185+F186</f>
        <v>5339.13</v>
      </c>
      <c r="G184" s="56"/>
    </row>
    <row r="185" spans="1:9" ht="24.95" customHeight="1" x14ac:dyDescent="0.25">
      <c r="A185" s="273">
        <v>3232</v>
      </c>
      <c r="B185" s="274"/>
      <c r="C185" s="275"/>
      <c r="D185" s="96" t="s">
        <v>130</v>
      </c>
      <c r="E185" s="37"/>
      <c r="F185" s="37">
        <v>3317.88</v>
      </c>
      <c r="G185" s="56"/>
    </row>
    <row r="186" spans="1:9" ht="24.95" customHeight="1" x14ac:dyDescent="0.25">
      <c r="A186" s="273">
        <v>3239</v>
      </c>
      <c r="B186" s="274"/>
      <c r="C186" s="275"/>
      <c r="D186" s="96" t="s">
        <v>135</v>
      </c>
      <c r="E186" s="37"/>
      <c r="F186" s="37">
        <v>2021.25</v>
      </c>
      <c r="G186" s="56"/>
    </row>
    <row r="187" spans="1:9" ht="24.95" customHeight="1" x14ac:dyDescent="0.25">
      <c r="A187" s="258" t="s">
        <v>71</v>
      </c>
      <c r="B187" s="259"/>
      <c r="C187" s="260"/>
      <c r="D187" s="196" t="s">
        <v>228</v>
      </c>
      <c r="E187" s="74">
        <f>E188</f>
        <v>1364</v>
      </c>
      <c r="F187" s="106">
        <f>F188</f>
        <v>198</v>
      </c>
      <c r="G187" s="56">
        <f>(F187/E187)*100</f>
        <v>14.516129032258066</v>
      </c>
    </row>
    <row r="188" spans="1:9" ht="24.95" customHeight="1" x14ac:dyDescent="0.25">
      <c r="A188" s="264">
        <v>32</v>
      </c>
      <c r="B188" s="265"/>
      <c r="C188" s="266"/>
      <c r="D188" s="123" t="s">
        <v>14</v>
      </c>
      <c r="E188" s="124">
        <f>200+1000+164</f>
        <v>1364</v>
      </c>
      <c r="F188" s="124">
        <f>F189+F192+F195</f>
        <v>198</v>
      </c>
      <c r="G188" s="125">
        <f>(F188/E188)*100</f>
        <v>14.516129032258066</v>
      </c>
    </row>
    <row r="189" spans="1:9" ht="24.95" customHeight="1" x14ac:dyDescent="0.25">
      <c r="A189" s="270">
        <v>322</v>
      </c>
      <c r="B189" s="271"/>
      <c r="C189" s="272"/>
      <c r="D189" s="96" t="s">
        <v>123</v>
      </c>
      <c r="E189" s="105"/>
      <c r="F189" s="105">
        <f>F190+F191</f>
        <v>0</v>
      </c>
      <c r="G189" s="56"/>
    </row>
    <row r="190" spans="1:9" ht="24.95" customHeight="1" x14ac:dyDescent="0.25">
      <c r="A190" s="273">
        <v>3221</v>
      </c>
      <c r="B190" s="274"/>
      <c r="C190" s="275"/>
      <c r="D190" s="96" t="s">
        <v>124</v>
      </c>
      <c r="E190" s="37"/>
      <c r="F190" s="37">
        <v>0</v>
      </c>
      <c r="G190" s="56"/>
    </row>
    <row r="191" spans="1:9" ht="24.95" customHeight="1" x14ac:dyDescent="0.25">
      <c r="A191" s="273">
        <v>3225</v>
      </c>
      <c r="B191" s="274"/>
      <c r="C191" s="275"/>
      <c r="D191" s="96" t="s">
        <v>127</v>
      </c>
      <c r="E191" s="37"/>
      <c r="F191" s="37">
        <v>0</v>
      </c>
      <c r="G191" s="56"/>
    </row>
    <row r="192" spans="1:9" ht="24.95" customHeight="1" x14ac:dyDescent="0.25">
      <c r="A192" s="270">
        <v>323</v>
      </c>
      <c r="B192" s="271"/>
      <c r="C192" s="272"/>
      <c r="D192" s="96" t="s">
        <v>128</v>
      </c>
      <c r="E192" s="105"/>
      <c r="F192" s="105">
        <f>F193+F194</f>
        <v>198</v>
      </c>
      <c r="G192" s="56"/>
    </row>
    <row r="193" spans="1:9" ht="24.95" customHeight="1" x14ac:dyDescent="0.25">
      <c r="A193" s="273">
        <v>3237</v>
      </c>
      <c r="B193" s="274"/>
      <c r="C193" s="275"/>
      <c r="D193" s="96" t="s">
        <v>133</v>
      </c>
      <c r="E193" s="37"/>
      <c r="F193" s="37">
        <v>198</v>
      </c>
      <c r="G193" s="56"/>
    </row>
    <row r="194" spans="1:9" ht="24.95" customHeight="1" x14ac:dyDescent="0.25">
      <c r="A194" s="273">
        <v>3239</v>
      </c>
      <c r="B194" s="274"/>
      <c r="C194" s="275"/>
      <c r="D194" s="96" t="s">
        <v>135</v>
      </c>
      <c r="E194" s="37"/>
      <c r="F194" s="37">
        <v>0</v>
      </c>
      <c r="G194" s="56"/>
    </row>
    <row r="195" spans="1:9" ht="24.95" customHeight="1" x14ac:dyDescent="0.25">
      <c r="A195" s="270">
        <v>329</v>
      </c>
      <c r="B195" s="271"/>
      <c r="C195" s="272"/>
      <c r="D195" s="96" t="s">
        <v>136</v>
      </c>
      <c r="E195" s="37"/>
      <c r="F195" s="105">
        <f>F196</f>
        <v>0</v>
      </c>
      <c r="G195" s="56"/>
    </row>
    <row r="196" spans="1:9" ht="24.95" customHeight="1" x14ac:dyDescent="0.25">
      <c r="A196" s="273">
        <v>3299</v>
      </c>
      <c r="B196" s="274"/>
      <c r="C196" s="275"/>
      <c r="D196" s="96" t="s">
        <v>136</v>
      </c>
      <c r="E196" s="37"/>
      <c r="F196" s="37">
        <v>0</v>
      </c>
      <c r="G196" s="56"/>
    </row>
    <row r="197" spans="1:9" ht="24.95" customHeight="1" x14ac:dyDescent="0.25">
      <c r="A197" s="258" t="s">
        <v>230</v>
      </c>
      <c r="B197" s="259"/>
      <c r="C197" s="260"/>
      <c r="D197" s="69" t="s">
        <v>246</v>
      </c>
      <c r="E197" s="106">
        <f>E198</f>
        <v>1134.77</v>
      </c>
      <c r="F197" s="106">
        <f>F198</f>
        <v>1048.69</v>
      </c>
      <c r="G197" s="56">
        <f>(F197/E197)*100</f>
        <v>92.414321844955367</v>
      </c>
    </row>
    <row r="198" spans="1:9" ht="24.95" customHeight="1" x14ac:dyDescent="0.25">
      <c r="A198" s="261">
        <v>3</v>
      </c>
      <c r="B198" s="262"/>
      <c r="C198" s="263"/>
      <c r="D198" s="195" t="s">
        <v>6</v>
      </c>
      <c r="E198" s="37">
        <f>E199</f>
        <v>1134.77</v>
      </c>
      <c r="F198" s="37">
        <f>F199</f>
        <v>1048.69</v>
      </c>
      <c r="G198" s="56"/>
    </row>
    <row r="199" spans="1:9" ht="24.95" customHeight="1" x14ac:dyDescent="0.25">
      <c r="A199" s="264">
        <v>32</v>
      </c>
      <c r="B199" s="265"/>
      <c r="C199" s="266"/>
      <c r="D199" s="123" t="s">
        <v>14</v>
      </c>
      <c r="E199" s="124">
        <f>1134.77</f>
        <v>1134.77</v>
      </c>
      <c r="F199" s="124">
        <f>F200+F203</f>
        <v>1048.69</v>
      </c>
      <c r="G199" s="125">
        <f>(F199/E199)*100</f>
        <v>92.414321844955367</v>
      </c>
    </row>
    <row r="200" spans="1:9" ht="24.95" customHeight="1" x14ac:dyDescent="0.25">
      <c r="A200" s="270">
        <v>321</v>
      </c>
      <c r="B200" s="271"/>
      <c r="C200" s="272"/>
      <c r="D200" s="96" t="s">
        <v>118</v>
      </c>
      <c r="E200" s="105"/>
      <c r="F200" s="105">
        <f>F201+F202</f>
        <v>0</v>
      </c>
      <c r="G200" s="56"/>
    </row>
    <row r="201" spans="1:9" ht="24.95" customHeight="1" x14ac:dyDescent="0.25">
      <c r="A201" s="273">
        <v>3211</v>
      </c>
      <c r="B201" s="274"/>
      <c r="C201" s="275"/>
      <c r="D201" s="96" t="s">
        <v>119</v>
      </c>
      <c r="E201" s="37"/>
      <c r="F201" s="37">
        <v>0</v>
      </c>
      <c r="G201" s="56"/>
    </row>
    <row r="202" spans="1:9" ht="24.95" customHeight="1" x14ac:dyDescent="0.25">
      <c r="A202" s="273">
        <v>3213</v>
      </c>
      <c r="B202" s="274"/>
      <c r="C202" s="275"/>
      <c r="D202" s="96" t="s">
        <v>121</v>
      </c>
      <c r="E202" s="71"/>
      <c r="F202" s="71">
        <v>0</v>
      </c>
      <c r="G202" s="130"/>
    </row>
    <row r="203" spans="1:9" ht="24.95" customHeight="1" x14ac:dyDescent="0.25">
      <c r="A203" s="270">
        <v>322</v>
      </c>
      <c r="B203" s="271"/>
      <c r="C203" s="272"/>
      <c r="D203" s="96" t="s">
        <v>123</v>
      </c>
      <c r="E203" s="105"/>
      <c r="F203" s="105">
        <f>F204</f>
        <v>1048.69</v>
      </c>
      <c r="G203" s="56"/>
    </row>
    <row r="204" spans="1:9" ht="24.95" customHeight="1" x14ac:dyDescent="0.25">
      <c r="A204" s="273">
        <v>3221</v>
      </c>
      <c r="B204" s="274"/>
      <c r="C204" s="275"/>
      <c r="D204" s="96" t="s">
        <v>124</v>
      </c>
      <c r="E204" s="105"/>
      <c r="F204" s="37">
        <v>1048.69</v>
      </c>
      <c r="G204" s="56"/>
    </row>
    <row r="205" spans="1:9" s="59" customFormat="1" ht="24.95" customHeight="1" x14ac:dyDescent="0.2">
      <c r="A205" s="258" t="s">
        <v>56</v>
      </c>
      <c r="B205" s="259"/>
      <c r="C205" s="260"/>
      <c r="D205" s="55" t="s">
        <v>29</v>
      </c>
      <c r="E205" s="56">
        <f>E206</f>
        <v>250224.08000000002</v>
      </c>
      <c r="F205" s="56">
        <f>F206</f>
        <v>143108.88000000003</v>
      </c>
      <c r="G205" s="56">
        <f t="shared" ref="G205:G296" si="16">(F205/E205)*100</f>
        <v>57.192289407158583</v>
      </c>
      <c r="I205" s="117"/>
    </row>
    <row r="206" spans="1:9" ht="24.95" customHeight="1" x14ac:dyDescent="0.25">
      <c r="A206" s="261">
        <v>3</v>
      </c>
      <c r="B206" s="262"/>
      <c r="C206" s="263"/>
      <c r="D206" s="45" t="s">
        <v>6</v>
      </c>
      <c r="E206" s="37">
        <f>E207+E222+E226</f>
        <v>250224.08000000002</v>
      </c>
      <c r="F206" s="37">
        <f>F207+F222+F226</f>
        <v>143108.88000000003</v>
      </c>
      <c r="G206" s="56"/>
    </row>
    <row r="207" spans="1:9" ht="24.95" customHeight="1" x14ac:dyDescent="0.25">
      <c r="A207" s="264">
        <v>32</v>
      </c>
      <c r="B207" s="265"/>
      <c r="C207" s="266"/>
      <c r="D207" s="123" t="s">
        <v>14</v>
      </c>
      <c r="E207" s="124">
        <f>760+2160.13+240000+220+400+60+950+350</f>
        <v>244900.13</v>
      </c>
      <c r="F207" s="124">
        <f>F208+F210+F214+F218</f>
        <v>140586.34000000003</v>
      </c>
      <c r="G207" s="125">
        <f t="shared" si="16"/>
        <v>57.4055799807048</v>
      </c>
    </row>
    <row r="208" spans="1:9" ht="24.95" customHeight="1" x14ac:dyDescent="0.25">
      <c r="A208" s="270">
        <v>321</v>
      </c>
      <c r="B208" s="271"/>
      <c r="C208" s="272"/>
      <c r="D208" s="96" t="s">
        <v>118</v>
      </c>
      <c r="E208" s="105"/>
      <c r="F208" s="105">
        <f>F209</f>
        <v>60</v>
      </c>
      <c r="G208" s="56"/>
    </row>
    <row r="209" spans="1:7" ht="24.95" customHeight="1" x14ac:dyDescent="0.25">
      <c r="A209" s="273">
        <v>3211</v>
      </c>
      <c r="B209" s="274"/>
      <c r="C209" s="275"/>
      <c r="D209" s="96" t="s">
        <v>119</v>
      </c>
      <c r="E209" s="37"/>
      <c r="F209" s="37">
        <v>60</v>
      </c>
      <c r="G209" s="56"/>
    </row>
    <row r="210" spans="1:7" ht="24.95" customHeight="1" x14ac:dyDescent="0.25">
      <c r="A210" s="270">
        <v>322</v>
      </c>
      <c r="B210" s="271"/>
      <c r="C210" s="272"/>
      <c r="D210" s="96" t="s">
        <v>123</v>
      </c>
      <c r="E210" s="105"/>
      <c r="F210" s="105">
        <f>F211+F213+F212</f>
        <v>139088.62000000002</v>
      </c>
      <c r="G210" s="56"/>
    </row>
    <row r="211" spans="1:7" ht="24.95" customHeight="1" x14ac:dyDescent="0.25">
      <c r="A211" s="273">
        <v>3221</v>
      </c>
      <c r="B211" s="274"/>
      <c r="C211" s="275"/>
      <c r="D211" s="96" t="s">
        <v>124</v>
      </c>
      <c r="E211" s="37"/>
      <c r="F211" s="37">
        <f>0.77+89.71</f>
        <v>90.47999999999999</v>
      </c>
      <c r="G211" s="56"/>
    </row>
    <row r="212" spans="1:7" ht="24.95" customHeight="1" x14ac:dyDescent="0.25">
      <c r="A212" s="273">
        <v>3222</v>
      </c>
      <c r="B212" s="274"/>
      <c r="C212" s="275"/>
      <c r="D212" s="96" t="s">
        <v>125</v>
      </c>
      <c r="E212" s="37"/>
      <c r="F212" s="37">
        <v>138998.14000000001</v>
      </c>
      <c r="G212" s="56"/>
    </row>
    <row r="213" spans="1:7" ht="24.95" customHeight="1" x14ac:dyDescent="0.25">
      <c r="A213" s="273">
        <v>3225</v>
      </c>
      <c r="B213" s="274"/>
      <c r="C213" s="275"/>
      <c r="D213" s="96" t="s">
        <v>127</v>
      </c>
      <c r="E213" s="37"/>
      <c r="F213" s="37">
        <v>0</v>
      </c>
      <c r="G213" s="56"/>
    </row>
    <row r="214" spans="1:7" ht="24.95" customHeight="1" x14ac:dyDescent="0.25">
      <c r="A214" s="270">
        <v>323</v>
      </c>
      <c r="B214" s="271"/>
      <c r="C214" s="272"/>
      <c r="D214" s="96" t="s">
        <v>128</v>
      </c>
      <c r="E214" s="105"/>
      <c r="F214" s="105">
        <f>SUM(F215:F217)</f>
        <v>91.47</v>
      </c>
      <c r="G214" s="56"/>
    </row>
    <row r="215" spans="1:7" ht="24.95" customHeight="1" x14ac:dyDescent="0.25">
      <c r="A215" s="273">
        <v>3231</v>
      </c>
      <c r="B215" s="274"/>
      <c r="C215" s="275"/>
      <c r="D215" s="96" t="s">
        <v>129</v>
      </c>
      <c r="E215" s="105"/>
      <c r="F215" s="37">
        <v>0</v>
      </c>
      <c r="G215" s="56"/>
    </row>
    <row r="216" spans="1:7" ht="24.95" customHeight="1" x14ac:dyDescent="0.25">
      <c r="A216" s="273">
        <v>3237</v>
      </c>
      <c r="B216" s="274"/>
      <c r="C216" s="275"/>
      <c r="D216" s="96" t="s">
        <v>133</v>
      </c>
      <c r="E216" s="105"/>
      <c r="F216" s="37">
        <v>0</v>
      </c>
      <c r="G216" s="56"/>
    </row>
    <row r="217" spans="1:7" ht="24.95" customHeight="1" x14ac:dyDescent="0.25">
      <c r="A217" s="273">
        <v>3239</v>
      </c>
      <c r="B217" s="274"/>
      <c r="C217" s="275"/>
      <c r="D217" s="96" t="s">
        <v>135</v>
      </c>
      <c r="E217" s="37"/>
      <c r="F217" s="37">
        <v>91.47</v>
      </c>
      <c r="G217" s="56"/>
    </row>
    <row r="218" spans="1:7" ht="24.95" customHeight="1" x14ac:dyDescent="0.25">
      <c r="A218" s="270">
        <v>329</v>
      </c>
      <c r="B218" s="271"/>
      <c r="C218" s="272"/>
      <c r="D218" s="96" t="s">
        <v>136</v>
      </c>
      <c r="E218" s="105"/>
      <c r="F218" s="105">
        <f>SUM(F219:F221)</f>
        <v>1346.25</v>
      </c>
      <c r="G218" s="56"/>
    </row>
    <row r="219" spans="1:7" ht="24.95" customHeight="1" x14ac:dyDescent="0.25">
      <c r="A219" s="273">
        <v>3291</v>
      </c>
      <c r="B219" s="274"/>
      <c r="C219" s="275"/>
      <c r="D219" s="96" t="s">
        <v>143</v>
      </c>
      <c r="E219" s="37"/>
      <c r="F219" s="37">
        <f>387.06+502.42</f>
        <v>889.48</v>
      </c>
      <c r="G219" s="56"/>
    </row>
    <row r="220" spans="1:7" ht="24.95" customHeight="1" x14ac:dyDescent="0.25">
      <c r="A220" s="273">
        <v>3293</v>
      </c>
      <c r="B220" s="274"/>
      <c r="C220" s="275"/>
      <c r="D220" s="96" t="s">
        <v>138</v>
      </c>
      <c r="E220" s="37"/>
      <c r="F220" s="37">
        <v>0</v>
      </c>
      <c r="G220" s="56"/>
    </row>
    <row r="221" spans="1:7" ht="24.95" customHeight="1" x14ac:dyDescent="0.25">
      <c r="A221" s="273">
        <v>3299</v>
      </c>
      <c r="B221" s="274"/>
      <c r="C221" s="275"/>
      <c r="D221" s="96" t="s">
        <v>136</v>
      </c>
      <c r="E221" s="37"/>
      <c r="F221" s="37">
        <f>48+408.77</f>
        <v>456.77</v>
      </c>
      <c r="G221" s="56"/>
    </row>
    <row r="222" spans="1:7" ht="24.95" customHeight="1" x14ac:dyDescent="0.25">
      <c r="A222" s="264">
        <v>37</v>
      </c>
      <c r="B222" s="265"/>
      <c r="C222" s="266"/>
      <c r="D222" s="127" t="s">
        <v>22</v>
      </c>
      <c r="E222" s="124">
        <f>900+2000</f>
        <v>2900</v>
      </c>
      <c r="F222" s="124">
        <f>F223</f>
        <v>304.02999999999997</v>
      </c>
      <c r="G222" s="125">
        <f t="shared" si="16"/>
        <v>10.483793103448274</v>
      </c>
    </row>
    <row r="223" spans="1:7" ht="24.95" customHeight="1" x14ac:dyDescent="0.25">
      <c r="A223" s="270">
        <v>372</v>
      </c>
      <c r="B223" s="271"/>
      <c r="C223" s="272"/>
      <c r="D223" s="96" t="s">
        <v>148</v>
      </c>
      <c r="E223" s="105"/>
      <c r="F223" s="105">
        <f>F224+F225</f>
        <v>304.02999999999997</v>
      </c>
      <c r="G223" s="56"/>
    </row>
    <row r="224" spans="1:7" ht="24.95" customHeight="1" x14ac:dyDescent="0.25">
      <c r="A224" s="273">
        <v>3721</v>
      </c>
      <c r="B224" s="274"/>
      <c r="C224" s="275"/>
      <c r="D224" s="96" t="s">
        <v>149</v>
      </c>
      <c r="E224" s="37"/>
      <c r="F224" s="37">
        <v>93.6</v>
      </c>
      <c r="G224" s="56"/>
    </row>
    <row r="225" spans="1:9" ht="24.95" customHeight="1" x14ac:dyDescent="0.25">
      <c r="A225" s="273">
        <v>3722</v>
      </c>
      <c r="B225" s="274"/>
      <c r="C225" s="275"/>
      <c r="D225" s="96" t="s">
        <v>150</v>
      </c>
      <c r="E225" s="37"/>
      <c r="F225" s="37">
        <v>210.43</v>
      </c>
      <c r="G225" s="56"/>
    </row>
    <row r="226" spans="1:9" ht="24.95" customHeight="1" x14ac:dyDescent="0.25">
      <c r="A226" s="264">
        <v>38</v>
      </c>
      <c r="B226" s="265"/>
      <c r="C226" s="266"/>
      <c r="D226" s="128" t="s">
        <v>92</v>
      </c>
      <c r="E226" s="124">
        <f>2423.95</f>
        <v>2423.9499999999998</v>
      </c>
      <c r="F226" s="124">
        <f>F227</f>
        <v>2218.5100000000002</v>
      </c>
      <c r="G226" s="125">
        <f t="shared" si="16"/>
        <v>91.524577652179303</v>
      </c>
    </row>
    <row r="227" spans="1:9" ht="24.95" customHeight="1" x14ac:dyDescent="0.25">
      <c r="A227" s="273">
        <v>3812</v>
      </c>
      <c r="B227" s="274"/>
      <c r="C227" s="275"/>
      <c r="D227" s="96" t="s">
        <v>159</v>
      </c>
      <c r="E227" s="37"/>
      <c r="F227" s="37">
        <v>2218.5100000000002</v>
      </c>
      <c r="G227" s="56"/>
    </row>
    <row r="228" spans="1:9" s="59" customFormat="1" ht="24.95" customHeight="1" x14ac:dyDescent="0.2">
      <c r="A228" s="258" t="s">
        <v>82</v>
      </c>
      <c r="B228" s="259"/>
      <c r="C228" s="260"/>
      <c r="D228" s="55" t="s">
        <v>66</v>
      </c>
      <c r="E228" s="56">
        <f>E229</f>
        <v>4480.25</v>
      </c>
      <c r="F228" s="56">
        <f t="shared" ref="F228:F229" si="17">F229</f>
        <v>832.57999999999993</v>
      </c>
      <c r="G228" s="56">
        <f t="shared" si="16"/>
        <v>18.583337983371461</v>
      </c>
      <c r="I228" s="117"/>
    </row>
    <row r="229" spans="1:9" ht="24.95" customHeight="1" x14ac:dyDescent="0.25">
      <c r="A229" s="261">
        <v>3</v>
      </c>
      <c r="B229" s="262"/>
      <c r="C229" s="263"/>
      <c r="D229" s="45" t="s">
        <v>6</v>
      </c>
      <c r="E229" s="37">
        <f>E230</f>
        <v>4480.25</v>
      </c>
      <c r="F229" s="37">
        <f t="shared" si="17"/>
        <v>832.57999999999993</v>
      </c>
      <c r="G229" s="56"/>
    </row>
    <row r="230" spans="1:9" ht="24.95" customHeight="1" x14ac:dyDescent="0.25">
      <c r="A230" s="264">
        <v>32</v>
      </c>
      <c r="B230" s="265"/>
      <c r="C230" s="266"/>
      <c r="D230" s="123" t="s">
        <v>14</v>
      </c>
      <c r="E230" s="124">
        <f>60+3513+312.72+50+420.53+40+84</f>
        <v>4480.25</v>
      </c>
      <c r="F230" s="124">
        <f>F233+F236+F239+F231</f>
        <v>832.57999999999993</v>
      </c>
      <c r="G230" s="125">
        <f t="shared" si="16"/>
        <v>18.583337983371461</v>
      </c>
    </row>
    <row r="231" spans="1:9" ht="24.95" customHeight="1" x14ac:dyDescent="0.25">
      <c r="A231" s="270">
        <v>321</v>
      </c>
      <c r="B231" s="271"/>
      <c r="C231" s="272"/>
      <c r="D231" s="96" t="s">
        <v>118</v>
      </c>
      <c r="E231" s="105"/>
      <c r="F231" s="105">
        <f>F232</f>
        <v>0</v>
      </c>
      <c r="G231" s="56"/>
    </row>
    <row r="232" spans="1:9" ht="24.95" customHeight="1" x14ac:dyDescent="0.25">
      <c r="A232" s="273">
        <v>3211</v>
      </c>
      <c r="B232" s="274"/>
      <c r="C232" s="275"/>
      <c r="D232" s="96" t="s">
        <v>119</v>
      </c>
      <c r="E232" s="37"/>
      <c r="F232" s="37">
        <v>0</v>
      </c>
      <c r="G232" s="56"/>
    </row>
    <row r="233" spans="1:9" ht="24.95" customHeight="1" x14ac:dyDescent="0.25">
      <c r="A233" s="270">
        <v>322</v>
      </c>
      <c r="B233" s="271"/>
      <c r="C233" s="272"/>
      <c r="D233" s="96" t="s">
        <v>123</v>
      </c>
      <c r="E233" s="105"/>
      <c r="F233" s="105">
        <f>F234+F235</f>
        <v>28.05</v>
      </c>
      <c r="G233" s="56"/>
    </row>
    <row r="234" spans="1:9" ht="24.95" customHeight="1" x14ac:dyDescent="0.25">
      <c r="A234" s="273">
        <v>3221</v>
      </c>
      <c r="B234" s="274"/>
      <c r="C234" s="275"/>
      <c r="D234" s="96" t="s">
        <v>124</v>
      </c>
      <c r="E234" s="37"/>
      <c r="F234" s="37">
        <v>28.05</v>
      </c>
      <c r="G234" s="56"/>
    </row>
    <row r="235" spans="1:9" ht="24.95" customHeight="1" x14ac:dyDescent="0.25">
      <c r="A235" s="273">
        <v>3225</v>
      </c>
      <c r="B235" s="274"/>
      <c r="C235" s="275"/>
      <c r="D235" s="96" t="s">
        <v>127</v>
      </c>
      <c r="E235" s="37"/>
      <c r="F235" s="37">
        <v>0</v>
      </c>
      <c r="G235" s="56"/>
    </row>
    <row r="236" spans="1:9" ht="24.95" customHeight="1" x14ac:dyDescent="0.25">
      <c r="A236" s="270">
        <v>323</v>
      </c>
      <c r="B236" s="271"/>
      <c r="C236" s="272"/>
      <c r="D236" s="96" t="s">
        <v>128</v>
      </c>
      <c r="E236" s="105"/>
      <c r="F236" s="105">
        <f>F237+F238</f>
        <v>654.53</v>
      </c>
      <c r="G236" s="56"/>
    </row>
    <row r="237" spans="1:9" ht="24.95" customHeight="1" x14ac:dyDescent="0.25">
      <c r="A237" s="273">
        <v>3231</v>
      </c>
      <c r="B237" s="274"/>
      <c r="C237" s="275"/>
      <c r="D237" s="96" t="s">
        <v>129</v>
      </c>
      <c r="E237" s="37"/>
      <c r="F237" s="37">
        <v>650</v>
      </c>
      <c r="G237" s="56"/>
    </row>
    <row r="238" spans="1:9" ht="24.95" customHeight="1" x14ac:dyDescent="0.25">
      <c r="A238" s="273">
        <v>3239</v>
      </c>
      <c r="B238" s="274"/>
      <c r="C238" s="275"/>
      <c r="D238" s="96" t="s">
        <v>135</v>
      </c>
      <c r="E238" s="37"/>
      <c r="F238" s="37">
        <v>4.53</v>
      </c>
      <c r="G238" s="56"/>
    </row>
    <row r="239" spans="1:9" ht="24.95" customHeight="1" x14ac:dyDescent="0.25">
      <c r="A239" s="270">
        <v>329</v>
      </c>
      <c r="B239" s="271"/>
      <c r="C239" s="272"/>
      <c r="D239" s="96" t="s">
        <v>136</v>
      </c>
      <c r="E239" s="105"/>
      <c r="F239" s="105">
        <f>F240</f>
        <v>150</v>
      </c>
      <c r="G239" s="56"/>
    </row>
    <row r="240" spans="1:9" ht="24.95" customHeight="1" x14ac:dyDescent="0.25">
      <c r="A240" s="273">
        <v>3299</v>
      </c>
      <c r="B240" s="274"/>
      <c r="C240" s="275"/>
      <c r="D240" s="96" t="s">
        <v>136</v>
      </c>
      <c r="E240" s="37"/>
      <c r="F240" s="37">
        <v>150</v>
      </c>
      <c r="G240" s="56"/>
    </row>
    <row r="241" spans="1:9" s="59" customFormat="1" ht="24.95" customHeight="1" x14ac:dyDescent="0.2">
      <c r="A241" s="258" t="s">
        <v>61</v>
      </c>
      <c r="B241" s="259"/>
      <c r="C241" s="260"/>
      <c r="D241" s="55" t="s">
        <v>31</v>
      </c>
      <c r="E241" s="56">
        <f>E242</f>
        <v>450</v>
      </c>
      <c r="F241" s="56">
        <f t="shared" ref="F241" si="18">F242</f>
        <v>50</v>
      </c>
      <c r="G241" s="56">
        <f t="shared" si="16"/>
        <v>11.111111111111111</v>
      </c>
      <c r="I241" s="117"/>
    </row>
    <row r="242" spans="1:9" ht="24.95" customHeight="1" x14ac:dyDescent="0.25">
      <c r="A242" s="264">
        <v>32</v>
      </c>
      <c r="B242" s="265"/>
      <c r="C242" s="266"/>
      <c r="D242" s="123" t="s">
        <v>14</v>
      </c>
      <c r="E242" s="124">
        <f>100+100+100+150</f>
        <v>450</v>
      </c>
      <c r="F242" s="124">
        <f>F243+F245+F248</f>
        <v>50</v>
      </c>
      <c r="G242" s="125">
        <f t="shared" si="16"/>
        <v>11.111111111111111</v>
      </c>
    </row>
    <row r="243" spans="1:9" ht="24.95" customHeight="1" x14ac:dyDescent="0.25">
      <c r="A243" s="270">
        <v>321</v>
      </c>
      <c r="B243" s="271"/>
      <c r="C243" s="272"/>
      <c r="D243" s="96" t="s">
        <v>118</v>
      </c>
      <c r="E243" s="105"/>
      <c r="F243" s="105">
        <f>F244</f>
        <v>0</v>
      </c>
      <c r="G243" s="56"/>
    </row>
    <row r="244" spans="1:9" ht="24.95" customHeight="1" x14ac:dyDescent="0.25">
      <c r="A244" s="273">
        <v>3211</v>
      </c>
      <c r="B244" s="274"/>
      <c r="C244" s="275"/>
      <c r="D244" s="96" t="s">
        <v>119</v>
      </c>
      <c r="E244" s="37"/>
      <c r="F244" s="37">
        <v>0</v>
      </c>
      <c r="G244" s="56"/>
    </row>
    <row r="245" spans="1:9" ht="24.95" customHeight="1" x14ac:dyDescent="0.25">
      <c r="A245" s="270">
        <v>322</v>
      </c>
      <c r="B245" s="271"/>
      <c r="C245" s="272"/>
      <c r="D245" s="96" t="s">
        <v>123</v>
      </c>
      <c r="E245" s="105"/>
      <c r="F245" s="105">
        <f>F246+F247</f>
        <v>50</v>
      </c>
      <c r="G245" s="56"/>
    </row>
    <row r="246" spans="1:9" ht="24.95" customHeight="1" x14ac:dyDescent="0.25">
      <c r="A246" s="273">
        <v>3221</v>
      </c>
      <c r="B246" s="274"/>
      <c r="C246" s="275"/>
      <c r="D246" s="96" t="s">
        <v>124</v>
      </c>
      <c r="E246" s="37"/>
      <c r="F246" s="37">
        <v>50</v>
      </c>
      <c r="G246" s="56"/>
    </row>
    <row r="247" spans="1:9" ht="24.95" customHeight="1" x14ac:dyDescent="0.25">
      <c r="A247" s="273">
        <v>3225</v>
      </c>
      <c r="B247" s="274"/>
      <c r="C247" s="275"/>
      <c r="D247" s="96" t="s">
        <v>127</v>
      </c>
      <c r="E247" s="37"/>
      <c r="F247" s="37">
        <v>0</v>
      </c>
      <c r="G247" s="56"/>
    </row>
    <row r="248" spans="1:9" ht="24.95" customHeight="1" x14ac:dyDescent="0.25">
      <c r="A248" s="270">
        <v>329</v>
      </c>
      <c r="B248" s="271"/>
      <c r="C248" s="272"/>
      <c r="D248" s="96" t="s">
        <v>136</v>
      </c>
      <c r="E248" s="105"/>
      <c r="F248" s="105">
        <f>F249+F250</f>
        <v>0</v>
      </c>
      <c r="G248" s="56"/>
    </row>
    <row r="249" spans="1:9" ht="24.95" customHeight="1" x14ac:dyDescent="0.25">
      <c r="A249" s="273">
        <v>3293</v>
      </c>
      <c r="B249" s="274"/>
      <c r="C249" s="275"/>
      <c r="D249" s="96" t="s">
        <v>138</v>
      </c>
      <c r="E249" s="37"/>
      <c r="F249" s="37">
        <v>0</v>
      </c>
      <c r="G249" s="56"/>
    </row>
    <row r="250" spans="1:9" ht="24.95" customHeight="1" x14ac:dyDescent="0.25">
      <c r="A250" s="273">
        <v>3299</v>
      </c>
      <c r="B250" s="274"/>
      <c r="C250" s="275"/>
      <c r="D250" s="96" t="s">
        <v>136</v>
      </c>
      <c r="E250" s="37"/>
      <c r="F250" s="37">
        <v>0</v>
      </c>
      <c r="G250" s="56"/>
    </row>
    <row r="251" spans="1:9" s="58" customFormat="1" ht="24.95" customHeight="1" x14ac:dyDescent="0.25">
      <c r="A251" s="258" t="s">
        <v>85</v>
      </c>
      <c r="B251" s="259"/>
      <c r="C251" s="260"/>
      <c r="D251" s="60" t="s">
        <v>68</v>
      </c>
      <c r="E251" s="56">
        <f>E252</f>
        <v>370.84000000000003</v>
      </c>
      <c r="F251" s="56">
        <f t="shared" ref="F251" si="19">F252</f>
        <v>167.64</v>
      </c>
      <c r="G251" s="56">
        <f t="shared" si="16"/>
        <v>45.205479452054789</v>
      </c>
      <c r="I251" s="116"/>
    </row>
    <row r="252" spans="1:9" ht="24.95" customHeight="1" x14ac:dyDescent="0.25">
      <c r="A252" s="264">
        <v>32</v>
      </c>
      <c r="B252" s="265"/>
      <c r="C252" s="266"/>
      <c r="D252" s="123" t="s">
        <v>14</v>
      </c>
      <c r="E252" s="124">
        <f>170.84+100+100</f>
        <v>370.84000000000003</v>
      </c>
      <c r="F252" s="124">
        <f>F255+F253</f>
        <v>167.64</v>
      </c>
      <c r="G252" s="125">
        <f t="shared" si="16"/>
        <v>45.205479452054789</v>
      </c>
    </row>
    <row r="253" spans="1:9" ht="24.95" customHeight="1" x14ac:dyDescent="0.25">
      <c r="A253" s="270">
        <v>321</v>
      </c>
      <c r="B253" s="271"/>
      <c r="C253" s="272"/>
      <c r="D253" s="96" t="s">
        <v>118</v>
      </c>
      <c r="E253" s="71"/>
      <c r="F253" s="71">
        <f>F254</f>
        <v>25</v>
      </c>
      <c r="G253" s="130"/>
    </row>
    <row r="254" spans="1:9" ht="24.95" customHeight="1" x14ac:dyDescent="0.25">
      <c r="A254" s="273">
        <v>3213</v>
      </c>
      <c r="B254" s="274"/>
      <c r="C254" s="275"/>
      <c r="D254" s="96" t="s">
        <v>121</v>
      </c>
      <c r="E254" s="71"/>
      <c r="F254" s="71">
        <v>25</v>
      </c>
      <c r="G254" s="130"/>
    </row>
    <row r="255" spans="1:9" ht="24.95" customHeight="1" x14ac:dyDescent="0.25">
      <c r="A255" s="270">
        <v>322</v>
      </c>
      <c r="B255" s="271"/>
      <c r="C255" s="272"/>
      <c r="D255" s="96" t="s">
        <v>123</v>
      </c>
      <c r="E255" s="105">
        <f>E256</f>
        <v>0</v>
      </c>
      <c r="F255" s="105">
        <f>F256</f>
        <v>142.63999999999999</v>
      </c>
      <c r="G255" s="56"/>
    </row>
    <row r="256" spans="1:9" ht="24.95" customHeight="1" x14ac:dyDescent="0.25">
      <c r="A256" s="273">
        <v>3221</v>
      </c>
      <c r="B256" s="274"/>
      <c r="C256" s="275"/>
      <c r="D256" s="96" t="s">
        <v>124</v>
      </c>
      <c r="E256" s="37"/>
      <c r="F256" s="37">
        <v>142.63999999999999</v>
      </c>
      <c r="G256" s="56"/>
    </row>
    <row r="257" spans="1:9" ht="24.95" customHeight="1" x14ac:dyDescent="0.25">
      <c r="A257" s="267" t="s">
        <v>43</v>
      </c>
      <c r="B257" s="268"/>
      <c r="C257" s="269"/>
      <c r="D257" s="44" t="s">
        <v>44</v>
      </c>
      <c r="E257" s="51">
        <f>E259+E262+E265+E268</f>
        <v>55</v>
      </c>
      <c r="F257" s="51">
        <f>F259+F262+F265+F268</f>
        <v>10.41</v>
      </c>
      <c r="G257" s="51"/>
    </row>
    <row r="258" spans="1:9" s="59" customFormat="1" ht="24.95" customHeight="1" x14ac:dyDescent="0.2">
      <c r="A258" s="258" t="s">
        <v>58</v>
      </c>
      <c r="B258" s="259"/>
      <c r="C258" s="260"/>
      <c r="D258" s="75" t="s">
        <v>30</v>
      </c>
      <c r="E258" s="56">
        <f>E259</f>
        <v>35</v>
      </c>
      <c r="F258" s="56">
        <f>F259</f>
        <v>0</v>
      </c>
      <c r="G258" s="56">
        <f t="shared" si="16"/>
        <v>0</v>
      </c>
      <c r="I258" s="117"/>
    </row>
    <row r="259" spans="1:9" ht="24.95" customHeight="1" x14ac:dyDescent="0.25">
      <c r="A259" s="264">
        <v>34</v>
      </c>
      <c r="B259" s="265"/>
      <c r="C259" s="266"/>
      <c r="D259" s="123" t="s">
        <v>21</v>
      </c>
      <c r="E259" s="124">
        <f>35</f>
        <v>35</v>
      </c>
      <c r="F259" s="124">
        <f>F260</f>
        <v>0</v>
      </c>
      <c r="G259" s="125">
        <f t="shared" si="16"/>
        <v>0</v>
      </c>
    </row>
    <row r="260" spans="1:9" ht="24.95" customHeight="1" x14ac:dyDescent="0.25">
      <c r="A260" s="273">
        <v>3433</v>
      </c>
      <c r="B260" s="274"/>
      <c r="C260" s="275"/>
      <c r="D260" s="96" t="s">
        <v>147</v>
      </c>
      <c r="E260" s="37"/>
      <c r="F260" s="37">
        <v>0</v>
      </c>
      <c r="G260" s="56"/>
    </row>
    <row r="261" spans="1:9" s="59" customFormat="1" ht="24.95" customHeight="1" x14ac:dyDescent="0.2">
      <c r="A261" s="258" t="s">
        <v>80</v>
      </c>
      <c r="B261" s="259"/>
      <c r="C261" s="260"/>
      <c r="D261" s="75" t="s">
        <v>63</v>
      </c>
      <c r="E261" s="56">
        <f>E262</f>
        <v>20</v>
      </c>
      <c r="F261" s="56">
        <f>F262</f>
        <v>10.41</v>
      </c>
      <c r="G261" s="125">
        <f t="shared" si="16"/>
        <v>52.05</v>
      </c>
      <c r="I261" s="117"/>
    </row>
    <row r="262" spans="1:9" ht="24.95" customHeight="1" x14ac:dyDescent="0.25">
      <c r="A262" s="264">
        <v>34</v>
      </c>
      <c r="B262" s="265"/>
      <c r="C262" s="266"/>
      <c r="D262" s="123" t="s">
        <v>21</v>
      </c>
      <c r="E262" s="124">
        <f>20</f>
        <v>20</v>
      </c>
      <c r="F262" s="124">
        <f>F263</f>
        <v>10.41</v>
      </c>
      <c r="G262" s="125">
        <f t="shared" si="16"/>
        <v>52.05</v>
      </c>
    </row>
    <row r="263" spans="1:9" ht="24.95" customHeight="1" x14ac:dyDescent="0.25">
      <c r="A263" s="273">
        <v>3433</v>
      </c>
      <c r="B263" s="274"/>
      <c r="C263" s="275"/>
      <c r="D263" s="96" t="s">
        <v>147</v>
      </c>
      <c r="E263" s="37"/>
      <c r="F263" s="37">
        <v>10.41</v>
      </c>
      <c r="G263" s="56"/>
    </row>
    <row r="264" spans="1:9" s="59" customFormat="1" ht="24.95" customHeight="1" x14ac:dyDescent="0.2">
      <c r="A264" s="258" t="s">
        <v>60</v>
      </c>
      <c r="B264" s="259"/>
      <c r="C264" s="260"/>
      <c r="D264" s="75" t="s">
        <v>79</v>
      </c>
      <c r="E264" s="56">
        <f>E265</f>
        <v>0</v>
      </c>
      <c r="F264" s="56">
        <f>F265</f>
        <v>0</v>
      </c>
      <c r="G264" s="56" t="e">
        <f t="shared" si="16"/>
        <v>#DIV/0!</v>
      </c>
      <c r="I264" s="117"/>
    </row>
    <row r="265" spans="1:9" ht="24.95" customHeight="1" x14ac:dyDescent="0.25">
      <c r="A265" s="264">
        <v>34</v>
      </c>
      <c r="B265" s="265"/>
      <c r="C265" s="266"/>
      <c r="D265" s="123" t="s">
        <v>21</v>
      </c>
      <c r="E265" s="124"/>
      <c r="F265" s="124">
        <f>F266</f>
        <v>0</v>
      </c>
      <c r="G265" s="125" t="e">
        <f t="shared" si="16"/>
        <v>#DIV/0!</v>
      </c>
    </row>
    <row r="266" spans="1:9" ht="24.95" customHeight="1" x14ac:dyDescent="0.25">
      <c r="A266" s="273">
        <v>3431</v>
      </c>
      <c r="B266" s="274"/>
      <c r="C266" s="275"/>
      <c r="D266" s="96" t="s">
        <v>146</v>
      </c>
      <c r="E266" s="37"/>
      <c r="F266" s="37">
        <v>0</v>
      </c>
      <c r="G266" s="56"/>
    </row>
    <row r="267" spans="1:9" ht="24.95" customHeight="1" x14ac:dyDescent="0.25">
      <c r="A267" s="258" t="s">
        <v>81</v>
      </c>
      <c r="B267" s="259"/>
      <c r="C267" s="260"/>
      <c r="D267" s="113" t="s">
        <v>65</v>
      </c>
      <c r="E267" s="56">
        <f>E268</f>
        <v>0</v>
      </c>
      <c r="F267" s="56">
        <f>F268</f>
        <v>0</v>
      </c>
      <c r="G267" s="56"/>
    </row>
    <row r="268" spans="1:9" ht="24.95" customHeight="1" x14ac:dyDescent="0.25">
      <c r="A268" s="264">
        <v>34</v>
      </c>
      <c r="B268" s="265"/>
      <c r="C268" s="266"/>
      <c r="D268" s="123" t="s">
        <v>21</v>
      </c>
      <c r="E268" s="124"/>
      <c r="F268" s="124">
        <f>F269</f>
        <v>0</v>
      </c>
      <c r="G268" s="125" t="e">
        <f t="shared" si="16"/>
        <v>#DIV/0!</v>
      </c>
    </row>
    <row r="269" spans="1:9" ht="24.95" customHeight="1" x14ac:dyDescent="0.25">
      <c r="A269" s="273">
        <v>3431</v>
      </c>
      <c r="B269" s="274"/>
      <c r="C269" s="275"/>
      <c r="D269" s="96" t="s">
        <v>146</v>
      </c>
      <c r="E269" s="37"/>
      <c r="F269" s="37">
        <v>0</v>
      </c>
      <c r="G269" s="56"/>
    </row>
    <row r="270" spans="1:9" ht="24.95" customHeight="1" x14ac:dyDescent="0.25">
      <c r="A270" s="267" t="s">
        <v>45</v>
      </c>
      <c r="B270" s="268"/>
      <c r="C270" s="269"/>
      <c r="D270" s="44" t="s">
        <v>46</v>
      </c>
      <c r="E270" s="51">
        <f>E272+E274+E278+E282+E294+E286+E291</f>
        <v>20092.189999999999</v>
      </c>
      <c r="F270" s="51">
        <f>F272+F274+F278+F282+F294+F286+F291</f>
        <v>2283.91</v>
      </c>
      <c r="G270" s="51"/>
    </row>
    <row r="271" spans="1:9" s="59" customFormat="1" ht="24.95" customHeight="1" x14ac:dyDescent="0.2">
      <c r="A271" s="258" t="s">
        <v>58</v>
      </c>
      <c r="B271" s="259"/>
      <c r="C271" s="260"/>
      <c r="D271" s="75" t="s">
        <v>30</v>
      </c>
      <c r="E271" s="56">
        <f>E272</f>
        <v>2550</v>
      </c>
      <c r="F271" s="56">
        <f>F272</f>
        <v>0</v>
      </c>
      <c r="G271" s="56">
        <f t="shared" si="16"/>
        <v>0</v>
      </c>
      <c r="I271" s="117"/>
    </row>
    <row r="272" spans="1:9" ht="24.95" customHeight="1" x14ac:dyDescent="0.25">
      <c r="A272" s="264">
        <v>42</v>
      </c>
      <c r="B272" s="265"/>
      <c r="C272" s="266"/>
      <c r="D272" s="123" t="s">
        <v>17</v>
      </c>
      <c r="E272" s="124">
        <f>150+400+100+800+100+1000</f>
        <v>2550</v>
      </c>
      <c r="F272" s="124"/>
      <c r="G272" s="125">
        <f t="shared" si="16"/>
        <v>0</v>
      </c>
    </row>
    <row r="273" spans="1:9" s="59" customFormat="1" ht="24.95" customHeight="1" x14ac:dyDescent="0.2">
      <c r="A273" s="258" t="s">
        <v>80</v>
      </c>
      <c r="B273" s="259"/>
      <c r="C273" s="260"/>
      <c r="D273" s="75" t="s">
        <v>63</v>
      </c>
      <c r="E273" s="56">
        <f>E274</f>
        <v>2000</v>
      </c>
      <c r="F273" s="56">
        <f>F274</f>
        <v>0.01</v>
      </c>
      <c r="G273" s="56">
        <f t="shared" si="16"/>
        <v>5.0000000000000001E-4</v>
      </c>
      <c r="I273" s="117"/>
    </row>
    <row r="274" spans="1:9" ht="24.95" customHeight="1" x14ac:dyDescent="0.25">
      <c r="A274" s="264">
        <v>42</v>
      </c>
      <c r="B274" s="265"/>
      <c r="C274" s="266"/>
      <c r="D274" s="123" t="s">
        <v>17</v>
      </c>
      <c r="E274" s="124">
        <f>1800+199.99+0.01</f>
        <v>2000</v>
      </c>
      <c r="F274" s="124">
        <f>F275+F276</f>
        <v>0.01</v>
      </c>
      <c r="G274" s="125">
        <f t="shared" si="16"/>
        <v>5.0000000000000001E-4</v>
      </c>
    </row>
    <row r="275" spans="1:9" ht="24.95" customHeight="1" x14ac:dyDescent="0.25">
      <c r="A275" s="273">
        <v>4221</v>
      </c>
      <c r="B275" s="274"/>
      <c r="C275" s="275"/>
      <c r="D275" s="97" t="s">
        <v>152</v>
      </c>
      <c r="E275" s="37"/>
      <c r="F275" s="37">
        <v>0</v>
      </c>
      <c r="G275" s="56"/>
    </row>
    <row r="276" spans="1:9" ht="24.95" customHeight="1" x14ac:dyDescent="0.25">
      <c r="A276" s="273">
        <v>4226</v>
      </c>
      <c r="B276" s="274"/>
      <c r="C276" s="275"/>
      <c r="D276" s="197" t="s">
        <v>226</v>
      </c>
      <c r="E276" s="37"/>
      <c r="F276" s="37">
        <v>0.01</v>
      </c>
      <c r="G276" s="56"/>
    </row>
    <row r="277" spans="1:9" s="59" customFormat="1" ht="24.95" customHeight="1" x14ac:dyDescent="0.2">
      <c r="A277" s="258" t="s">
        <v>60</v>
      </c>
      <c r="B277" s="259"/>
      <c r="C277" s="260"/>
      <c r="D277" s="75" t="s">
        <v>79</v>
      </c>
      <c r="E277" s="56">
        <f>E278</f>
        <v>10900</v>
      </c>
      <c r="F277" s="56">
        <f>F278</f>
        <v>0</v>
      </c>
      <c r="G277" s="56">
        <f t="shared" si="16"/>
        <v>0</v>
      </c>
      <c r="I277" s="117"/>
    </row>
    <row r="278" spans="1:9" ht="24.95" customHeight="1" x14ac:dyDescent="0.25">
      <c r="A278" s="264">
        <v>42</v>
      </c>
      <c r="B278" s="265"/>
      <c r="C278" s="266"/>
      <c r="D278" s="123" t="s">
        <v>17</v>
      </c>
      <c r="E278" s="124">
        <f>5000+2600+3300</f>
        <v>10900</v>
      </c>
      <c r="F278" s="124">
        <f>F279+F280</f>
        <v>0</v>
      </c>
      <c r="G278" s="125">
        <f t="shared" si="16"/>
        <v>0</v>
      </c>
    </row>
    <row r="279" spans="1:9" ht="24.95" customHeight="1" x14ac:dyDescent="0.25">
      <c r="A279" s="273">
        <v>4221</v>
      </c>
      <c r="B279" s="274"/>
      <c r="C279" s="275"/>
      <c r="D279" s="97" t="s">
        <v>152</v>
      </c>
      <c r="E279" s="37"/>
      <c r="F279" s="37">
        <v>0</v>
      </c>
      <c r="G279" s="56"/>
    </row>
    <row r="280" spans="1:9" ht="24.95" customHeight="1" x14ac:dyDescent="0.25">
      <c r="A280" s="273">
        <v>4227</v>
      </c>
      <c r="B280" s="274"/>
      <c r="C280" s="275"/>
      <c r="D280" s="96" t="s">
        <v>153</v>
      </c>
      <c r="E280" s="37"/>
      <c r="F280" s="37">
        <v>0</v>
      </c>
      <c r="G280" s="56"/>
    </row>
    <row r="281" spans="1:9" s="59" customFormat="1" ht="24.95" customHeight="1" x14ac:dyDescent="0.2">
      <c r="A281" s="258" t="s">
        <v>81</v>
      </c>
      <c r="B281" s="259"/>
      <c r="C281" s="260"/>
      <c r="D281" s="75" t="s">
        <v>65</v>
      </c>
      <c r="E281" s="56">
        <f>E282</f>
        <v>3595.94</v>
      </c>
      <c r="F281" s="56">
        <f>F282</f>
        <v>1537.65</v>
      </c>
      <c r="G281" s="56">
        <f t="shared" si="16"/>
        <v>42.760724594959875</v>
      </c>
      <c r="I281" s="117"/>
    </row>
    <row r="282" spans="1:9" ht="24.95" customHeight="1" x14ac:dyDescent="0.25">
      <c r="A282" s="264">
        <v>42</v>
      </c>
      <c r="B282" s="265"/>
      <c r="C282" s="266"/>
      <c r="D282" s="123" t="s">
        <v>17</v>
      </c>
      <c r="E282" s="124">
        <f>2100+1495.94</f>
        <v>3595.94</v>
      </c>
      <c r="F282" s="124">
        <f>F283+F284</f>
        <v>1537.65</v>
      </c>
      <c r="G282" s="125">
        <f t="shared" si="16"/>
        <v>42.760724594959875</v>
      </c>
    </row>
    <row r="283" spans="1:9" ht="24.95" customHeight="1" x14ac:dyDescent="0.25">
      <c r="A283" s="273">
        <v>4221</v>
      </c>
      <c r="B283" s="274"/>
      <c r="C283" s="275"/>
      <c r="D283" s="97" t="s">
        <v>152</v>
      </c>
      <c r="E283" s="37"/>
      <c r="F283" s="37">
        <v>1107.75</v>
      </c>
      <c r="G283" s="56"/>
    </row>
    <row r="284" spans="1:9" ht="24.95" customHeight="1" x14ac:dyDescent="0.25">
      <c r="A284" s="273">
        <v>4227</v>
      </c>
      <c r="B284" s="274"/>
      <c r="C284" s="275"/>
      <c r="D284" s="96" t="s">
        <v>153</v>
      </c>
      <c r="E284" s="37"/>
      <c r="F284" s="37">
        <v>429.9</v>
      </c>
      <c r="G284" s="56"/>
    </row>
    <row r="285" spans="1:9" s="107" customFormat="1" ht="24.95" customHeight="1" x14ac:dyDescent="0.2">
      <c r="A285" s="258" t="s">
        <v>85</v>
      </c>
      <c r="B285" s="259"/>
      <c r="C285" s="260"/>
      <c r="D285" s="75" t="s">
        <v>68</v>
      </c>
      <c r="E285" s="106">
        <f>E286</f>
        <v>300</v>
      </c>
      <c r="F285" s="106">
        <f>F286</f>
        <v>0</v>
      </c>
      <c r="G285" s="56">
        <f t="shared" si="16"/>
        <v>0</v>
      </c>
      <c r="I285" s="118"/>
    </row>
    <row r="286" spans="1:9" ht="24.95" customHeight="1" x14ac:dyDescent="0.25">
      <c r="A286" s="264">
        <v>42</v>
      </c>
      <c r="B286" s="265"/>
      <c r="C286" s="266"/>
      <c r="D286" s="123" t="s">
        <v>17</v>
      </c>
      <c r="E286" s="124">
        <f>300</f>
        <v>300</v>
      </c>
      <c r="F286" s="124">
        <f>F287+F288+F289</f>
        <v>0</v>
      </c>
      <c r="G286" s="125">
        <f t="shared" si="16"/>
        <v>0</v>
      </c>
    </row>
    <row r="287" spans="1:9" ht="24.95" customHeight="1" x14ac:dyDescent="0.25">
      <c r="A287" s="273">
        <v>4221</v>
      </c>
      <c r="B287" s="274"/>
      <c r="C287" s="275"/>
      <c r="D287" s="97" t="s">
        <v>152</v>
      </c>
      <c r="E287" s="37"/>
      <c r="F287" s="37">
        <v>0</v>
      </c>
      <c r="G287" s="56"/>
    </row>
    <row r="288" spans="1:9" ht="24.95" customHeight="1" x14ac:dyDescent="0.25">
      <c r="A288" s="273">
        <v>4227</v>
      </c>
      <c r="B288" s="274"/>
      <c r="C288" s="275"/>
      <c r="D288" s="96" t="s">
        <v>153</v>
      </c>
      <c r="E288" s="37"/>
      <c r="F288" s="37">
        <v>0</v>
      </c>
      <c r="G288" s="56"/>
    </row>
    <row r="289" spans="1:9" ht="24.95" customHeight="1" x14ac:dyDescent="0.25">
      <c r="A289" s="273">
        <v>4241</v>
      </c>
      <c r="B289" s="274"/>
      <c r="C289" s="275"/>
      <c r="D289" s="97" t="s">
        <v>156</v>
      </c>
      <c r="E289" s="37"/>
      <c r="F289" s="37">
        <v>0</v>
      </c>
      <c r="G289" s="56"/>
    </row>
    <row r="290" spans="1:9" s="59" customFormat="1" ht="24.95" customHeight="1" x14ac:dyDescent="0.2">
      <c r="A290" s="258" t="s">
        <v>82</v>
      </c>
      <c r="B290" s="259"/>
      <c r="C290" s="260"/>
      <c r="D290" s="199" t="s">
        <v>66</v>
      </c>
      <c r="E290" s="56">
        <f>E291</f>
        <v>746.25</v>
      </c>
      <c r="F290" s="56">
        <f>F291</f>
        <v>746.25</v>
      </c>
      <c r="G290" s="56">
        <f t="shared" ref="G290:G291" si="20">(F290/E290)*100</f>
        <v>100</v>
      </c>
      <c r="I290" s="117"/>
    </row>
    <row r="291" spans="1:9" ht="24.95" customHeight="1" x14ac:dyDescent="0.25">
      <c r="A291" s="264">
        <v>42</v>
      </c>
      <c r="B291" s="265"/>
      <c r="C291" s="266"/>
      <c r="D291" s="123" t="s">
        <v>17</v>
      </c>
      <c r="E291" s="124">
        <f>746.25</f>
        <v>746.25</v>
      </c>
      <c r="F291" s="124">
        <f>F292</f>
        <v>746.25</v>
      </c>
      <c r="G291" s="125">
        <f t="shared" si="20"/>
        <v>100</v>
      </c>
    </row>
    <row r="292" spans="1:9" ht="24.95" customHeight="1" x14ac:dyDescent="0.25">
      <c r="A292" s="273">
        <v>4226</v>
      </c>
      <c r="B292" s="274"/>
      <c r="C292" s="275"/>
      <c r="D292" s="97" t="s">
        <v>226</v>
      </c>
      <c r="E292" s="37"/>
      <c r="F292" s="37">
        <v>746.25</v>
      </c>
      <c r="G292" s="56"/>
    </row>
    <row r="293" spans="1:9" s="59" customFormat="1" ht="24.95" customHeight="1" x14ac:dyDescent="0.2">
      <c r="A293" s="258" t="s">
        <v>56</v>
      </c>
      <c r="B293" s="259"/>
      <c r="C293" s="260"/>
      <c r="D293" s="75" t="s">
        <v>29</v>
      </c>
      <c r="E293" s="56">
        <f>E294</f>
        <v>0</v>
      </c>
      <c r="F293" s="56">
        <f>F294</f>
        <v>0</v>
      </c>
      <c r="G293" s="56" t="e">
        <f t="shared" si="16"/>
        <v>#DIV/0!</v>
      </c>
      <c r="I293" s="117"/>
    </row>
    <row r="294" spans="1:9" ht="24.95" customHeight="1" x14ac:dyDescent="0.25">
      <c r="A294" s="264">
        <v>42</v>
      </c>
      <c r="B294" s="265"/>
      <c r="C294" s="266"/>
      <c r="D294" s="123" t="s">
        <v>17</v>
      </c>
      <c r="E294" s="124"/>
      <c r="F294" s="124">
        <f>F295+F296</f>
        <v>0</v>
      </c>
      <c r="G294" s="125" t="e">
        <f t="shared" si="16"/>
        <v>#DIV/0!</v>
      </c>
    </row>
    <row r="295" spans="1:9" ht="24.95" customHeight="1" x14ac:dyDescent="0.25">
      <c r="A295" s="273">
        <v>4241</v>
      </c>
      <c r="B295" s="274"/>
      <c r="C295" s="275"/>
      <c r="D295" s="53" t="s">
        <v>166</v>
      </c>
      <c r="E295" s="54"/>
      <c r="F295" s="54">
        <v>0</v>
      </c>
      <c r="G295" s="56" t="e">
        <f t="shared" si="16"/>
        <v>#DIV/0!</v>
      </c>
    </row>
    <row r="296" spans="1:9" ht="24.95" customHeight="1" x14ac:dyDescent="0.25">
      <c r="A296" s="273">
        <v>4241</v>
      </c>
      <c r="B296" s="274"/>
      <c r="C296" s="275"/>
      <c r="D296" s="53" t="s">
        <v>167</v>
      </c>
      <c r="E296" s="54"/>
      <c r="F296" s="54">
        <v>0</v>
      </c>
      <c r="G296" s="56" t="e">
        <f t="shared" si="16"/>
        <v>#DIV/0!</v>
      </c>
    </row>
    <row r="297" spans="1:9" ht="24.95" customHeight="1" x14ac:dyDescent="0.25">
      <c r="A297" s="280" t="s">
        <v>47</v>
      </c>
      <c r="B297" s="281"/>
      <c r="C297" s="282"/>
      <c r="D297" s="50" t="s">
        <v>48</v>
      </c>
      <c r="E297" s="52">
        <f>E298+E307+E320+E326+E346+E386</f>
        <v>251050</v>
      </c>
      <c r="F297" s="52">
        <f>F298+F307+F320+F326+F346+F386</f>
        <v>235430.03000000003</v>
      </c>
      <c r="G297" s="52"/>
    </row>
    <row r="298" spans="1:9" ht="39.75" customHeight="1" x14ac:dyDescent="0.25">
      <c r="A298" s="267" t="s">
        <v>49</v>
      </c>
      <c r="B298" s="268"/>
      <c r="C298" s="269"/>
      <c r="D298" s="44" t="s">
        <v>248</v>
      </c>
      <c r="E298" s="51">
        <f>E300</f>
        <v>0</v>
      </c>
      <c r="F298" s="51">
        <f t="shared" ref="F298" si="21">F300</f>
        <v>76.25</v>
      </c>
      <c r="G298" s="51"/>
    </row>
    <row r="299" spans="1:9" s="58" customFormat="1" ht="24.95" customHeight="1" x14ac:dyDescent="0.25">
      <c r="A299" s="258" t="s">
        <v>57</v>
      </c>
      <c r="B299" s="259"/>
      <c r="C299" s="260"/>
      <c r="D299" s="55" t="s">
        <v>4</v>
      </c>
      <c r="E299" s="56">
        <f>E300</f>
        <v>0</v>
      </c>
      <c r="F299" s="56">
        <f t="shared" ref="F299" si="22">F300</f>
        <v>76.25</v>
      </c>
      <c r="G299" s="56" t="e">
        <f t="shared" ref="G299" si="23">(F299/E299)*100</f>
        <v>#DIV/0!</v>
      </c>
      <c r="I299" s="116"/>
    </row>
    <row r="300" spans="1:9" ht="24.95" customHeight="1" x14ac:dyDescent="0.25">
      <c r="A300" s="261">
        <v>3</v>
      </c>
      <c r="B300" s="262"/>
      <c r="C300" s="263"/>
      <c r="D300" s="16" t="s">
        <v>6</v>
      </c>
      <c r="E300" s="37">
        <f>E301+E305</f>
        <v>0</v>
      </c>
      <c r="F300" s="37">
        <f>F305+F301</f>
        <v>76.25</v>
      </c>
      <c r="G300" s="37"/>
    </row>
    <row r="301" spans="1:9" ht="24.95" customHeight="1" x14ac:dyDescent="0.25">
      <c r="A301" s="277">
        <v>32</v>
      </c>
      <c r="B301" s="278"/>
      <c r="C301" s="279"/>
      <c r="D301" s="123" t="s">
        <v>14</v>
      </c>
      <c r="E301" s="124"/>
      <c r="F301" s="129">
        <f>F304+F302+F303</f>
        <v>76.25</v>
      </c>
      <c r="G301" s="125" t="e">
        <f t="shared" ref="G301:G310" si="24">(F301/E301)*100</f>
        <v>#DIV/0!</v>
      </c>
    </row>
    <row r="302" spans="1:9" ht="24.95" customHeight="1" x14ac:dyDescent="0.25">
      <c r="A302" s="273">
        <v>3211</v>
      </c>
      <c r="B302" s="274"/>
      <c r="C302" s="275"/>
      <c r="D302" s="96" t="s">
        <v>119</v>
      </c>
      <c r="E302" s="71"/>
      <c r="F302" s="71">
        <v>0</v>
      </c>
      <c r="G302" s="130"/>
    </row>
    <row r="303" spans="1:9" ht="24.95" customHeight="1" x14ac:dyDescent="0.25">
      <c r="A303" s="273">
        <v>3221</v>
      </c>
      <c r="B303" s="274"/>
      <c r="C303" s="275"/>
      <c r="D303" s="96" t="s">
        <v>124</v>
      </c>
      <c r="E303" s="71"/>
      <c r="F303" s="71">
        <v>0</v>
      </c>
      <c r="G303" s="130"/>
    </row>
    <row r="304" spans="1:9" ht="24.95" customHeight="1" x14ac:dyDescent="0.25">
      <c r="A304" s="273">
        <v>3239</v>
      </c>
      <c r="B304" s="274"/>
      <c r="C304" s="275"/>
      <c r="D304" s="96" t="s">
        <v>135</v>
      </c>
      <c r="E304" s="37"/>
      <c r="F304" s="37">
        <v>76.25</v>
      </c>
      <c r="G304" s="56"/>
    </row>
    <row r="305" spans="1:9" ht="24.95" customHeight="1" x14ac:dyDescent="0.25">
      <c r="A305" s="277">
        <v>37</v>
      </c>
      <c r="B305" s="278"/>
      <c r="C305" s="279"/>
      <c r="D305" s="127" t="s">
        <v>22</v>
      </c>
      <c r="E305" s="124"/>
      <c r="F305" s="129">
        <f>F306</f>
        <v>0</v>
      </c>
      <c r="G305" s="125" t="e">
        <f t="shared" si="24"/>
        <v>#DIV/0!</v>
      </c>
    </row>
    <row r="306" spans="1:9" ht="24.95" customHeight="1" x14ac:dyDescent="0.25">
      <c r="A306" s="273">
        <v>3721</v>
      </c>
      <c r="B306" s="274"/>
      <c r="C306" s="275"/>
      <c r="D306" s="96" t="s">
        <v>149</v>
      </c>
      <c r="E306" s="37"/>
      <c r="F306" s="37">
        <v>0</v>
      </c>
      <c r="G306" s="56"/>
    </row>
    <row r="307" spans="1:9" ht="24.95" customHeight="1" x14ac:dyDescent="0.25">
      <c r="A307" s="267" t="s">
        <v>50</v>
      </c>
      <c r="B307" s="268"/>
      <c r="C307" s="269"/>
      <c r="D307" s="44" t="s">
        <v>51</v>
      </c>
      <c r="E307" s="51">
        <f>E309</f>
        <v>118650</v>
      </c>
      <c r="F307" s="51">
        <f t="shared" ref="F307" si="25">F309</f>
        <v>109475.39</v>
      </c>
      <c r="G307" s="51"/>
    </row>
    <row r="308" spans="1:9" s="58" customFormat="1" ht="24.95" customHeight="1" x14ac:dyDescent="0.25">
      <c r="A308" s="258" t="s">
        <v>57</v>
      </c>
      <c r="B308" s="259"/>
      <c r="C308" s="260"/>
      <c r="D308" s="55" t="s">
        <v>4</v>
      </c>
      <c r="E308" s="56">
        <f>E309</f>
        <v>118650</v>
      </c>
      <c r="F308" s="56">
        <f>F309</f>
        <v>109475.39</v>
      </c>
      <c r="G308" s="56">
        <f t="shared" si="24"/>
        <v>92.267501053518757</v>
      </c>
      <c r="I308" s="116"/>
    </row>
    <row r="309" spans="1:9" ht="24.95" customHeight="1" x14ac:dyDescent="0.25">
      <c r="A309" s="261">
        <v>3</v>
      </c>
      <c r="B309" s="262"/>
      <c r="C309" s="263"/>
      <c r="D309" s="18" t="s">
        <v>6</v>
      </c>
      <c r="E309" s="37">
        <f>E310+E317</f>
        <v>118650</v>
      </c>
      <c r="F309" s="37">
        <f>F310+F317</f>
        <v>109475.39</v>
      </c>
      <c r="G309" s="37"/>
    </row>
    <row r="310" spans="1:9" ht="24.95" customHeight="1" x14ac:dyDescent="0.25">
      <c r="A310" s="264">
        <v>31</v>
      </c>
      <c r="B310" s="265"/>
      <c r="C310" s="266"/>
      <c r="D310" s="123" t="s">
        <v>7</v>
      </c>
      <c r="E310" s="124">
        <f>95000+5750+17000</f>
        <v>117750</v>
      </c>
      <c r="F310" s="124">
        <f>F311+F313+F315</f>
        <v>108421.46</v>
      </c>
      <c r="G310" s="125">
        <f t="shared" si="24"/>
        <v>92.077673036093415</v>
      </c>
    </row>
    <row r="311" spans="1:9" ht="24.95" customHeight="1" x14ac:dyDescent="0.25">
      <c r="A311" s="270">
        <v>311</v>
      </c>
      <c r="B311" s="271"/>
      <c r="C311" s="272"/>
      <c r="D311" s="96" t="s">
        <v>113</v>
      </c>
      <c r="E311" s="105"/>
      <c r="F311" s="105">
        <f>F312</f>
        <v>90730.21</v>
      </c>
      <c r="G311" s="38"/>
    </row>
    <row r="312" spans="1:9" ht="24.95" customHeight="1" x14ac:dyDescent="0.25">
      <c r="A312" s="273">
        <v>3111</v>
      </c>
      <c r="B312" s="274"/>
      <c r="C312" s="275"/>
      <c r="D312" s="96" t="s">
        <v>114</v>
      </c>
      <c r="E312" s="37"/>
      <c r="F312" s="37">
        <v>90730.21</v>
      </c>
      <c r="G312" s="38"/>
    </row>
    <row r="313" spans="1:9" ht="24.95" customHeight="1" x14ac:dyDescent="0.25">
      <c r="A313" s="270">
        <v>312</v>
      </c>
      <c r="B313" s="271"/>
      <c r="C313" s="272"/>
      <c r="D313" s="96" t="s">
        <v>115</v>
      </c>
      <c r="E313" s="105"/>
      <c r="F313" s="105">
        <f>F314</f>
        <v>2720.72</v>
      </c>
      <c r="G313" s="38"/>
    </row>
    <row r="314" spans="1:9" ht="24.95" customHeight="1" x14ac:dyDescent="0.25">
      <c r="A314" s="273">
        <v>3121</v>
      </c>
      <c r="B314" s="274"/>
      <c r="C314" s="275"/>
      <c r="D314" s="96" t="s">
        <v>115</v>
      </c>
      <c r="E314" s="37"/>
      <c r="F314" s="37">
        <v>2720.72</v>
      </c>
      <c r="G314" s="38"/>
    </row>
    <row r="315" spans="1:9" ht="24.95" customHeight="1" x14ac:dyDescent="0.25">
      <c r="A315" s="270">
        <v>313</v>
      </c>
      <c r="B315" s="271"/>
      <c r="C315" s="272"/>
      <c r="D315" s="96" t="s">
        <v>116</v>
      </c>
      <c r="E315" s="105"/>
      <c r="F315" s="105">
        <f>F316</f>
        <v>14970.53</v>
      </c>
      <c r="G315" s="38"/>
    </row>
    <row r="316" spans="1:9" ht="24.95" customHeight="1" x14ac:dyDescent="0.25">
      <c r="A316" s="273">
        <v>3132</v>
      </c>
      <c r="B316" s="274"/>
      <c r="C316" s="275"/>
      <c r="D316" s="96" t="s">
        <v>117</v>
      </c>
      <c r="E316" s="37"/>
      <c r="F316" s="37">
        <v>14970.53</v>
      </c>
      <c r="G316" s="38"/>
    </row>
    <row r="317" spans="1:9" ht="24.95" customHeight="1" x14ac:dyDescent="0.25">
      <c r="A317" s="264">
        <v>32</v>
      </c>
      <c r="B317" s="265"/>
      <c r="C317" s="266"/>
      <c r="D317" s="123" t="s">
        <v>73</v>
      </c>
      <c r="E317" s="124">
        <f>900</f>
        <v>900</v>
      </c>
      <c r="F317" s="124">
        <f>F318</f>
        <v>1053.93</v>
      </c>
      <c r="G317" s="125">
        <f t="shared" ref="G317" si="26">(F317/E317)*100</f>
        <v>117.10333333333334</v>
      </c>
    </row>
    <row r="318" spans="1:9" ht="24.95" customHeight="1" x14ac:dyDescent="0.25">
      <c r="A318" s="270">
        <v>321</v>
      </c>
      <c r="B318" s="271"/>
      <c r="C318" s="272"/>
      <c r="D318" s="96" t="s">
        <v>118</v>
      </c>
      <c r="E318" s="37"/>
      <c r="F318" s="105">
        <f>F319</f>
        <v>1053.93</v>
      </c>
      <c r="G318" s="38"/>
    </row>
    <row r="319" spans="1:9" ht="24.95" customHeight="1" x14ac:dyDescent="0.25">
      <c r="A319" s="273">
        <v>3212</v>
      </c>
      <c r="B319" s="274"/>
      <c r="C319" s="275"/>
      <c r="D319" s="96" t="s">
        <v>120</v>
      </c>
      <c r="E319" s="37"/>
      <c r="F319" s="37">
        <v>1053.93</v>
      </c>
      <c r="G319" s="38"/>
    </row>
    <row r="320" spans="1:9" ht="30.6" customHeight="1" x14ac:dyDescent="0.25">
      <c r="A320" s="267" t="s">
        <v>52</v>
      </c>
      <c r="B320" s="268"/>
      <c r="C320" s="269"/>
      <c r="D320" s="44" t="s">
        <v>72</v>
      </c>
      <c r="E320" s="51">
        <f>E322</f>
        <v>0</v>
      </c>
      <c r="F320" s="51">
        <f t="shared" ref="F320" si="27">F322</f>
        <v>0</v>
      </c>
      <c r="G320" s="51"/>
    </row>
    <row r="321" spans="1:9" s="58" customFormat="1" ht="24.95" customHeight="1" x14ac:dyDescent="0.25">
      <c r="A321" s="258" t="s">
        <v>57</v>
      </c>
      <c r="B321" s="259"/>
      <c r="C321" s="260"/>
      <c r="D321" s="55" t="s">
        <v>4</v>
      </c>
      <c r="E321" s="56">
        <f>E322</f>
        <v>0</v>
      </c>
      <c r="F321" s="56">
        <f t="shared" ref="F321:F322" si="28">F322</f>
        <v>0</v>
      </c>
      <c r="G321" s="56" t="e">
        <f t="shared" ref="G321" si="29">(F321/E321)*100</f>
        <v>#DIV/0!</v>
      </c>
      <c r="I321" s="116"/>
    </row>
    <row r="322" spans="1:9" ht="24.95" customHeight="1" x14ac:dyDescent="0.25">
      <c r="A322" s="261">
        <v>3</v>
      </c>
      <c r="B322" s="262"/>
      <c r="C322" s="263"/>
      <c r="D322" s="18" t="s">
        <v>6</v>
      </c>
      <c r="E322" s="37">
        <f>E323</f>
        <v>0</v>
      </c>
      <c r="F322" s="37">
        <f t="shared" si="28"/>
        <v>0</v>
      </c>
      <c r="G322" s="37"/>
    </row>
    <row r="323" spans="1:9" ht="27.6" customHeight="1" x14ac:dyDescent="0.25">
      <c r="A323" s="277">
        <v>37</v>
      </c>
      <c r="B323" s="278"/>
      <c r="C323" s="279"/>
      <c r="D323" s="127" t="s">
        <v>22</v>
      </c>
      <c r="E323" s="124"/>
      <c r="F323" s="129">
        <f>F325+F324</f>
        <v>0</v>
      </c>
      <c r="G323" s="125" t="e">
        <f t="shared" ref="G323:G329" si="30">(F323/E323)*100</f>
        <v>#DIV/0!</v>
      </c>
    </row>
    <row r="324" spans="1:9" ht="27.6" customHeight="1" x14ac:dyDescent="0.25">
      <c r="A324" s="273">
        <v>3721</v>
      </c>
      <c r="B324" s="274"/>
      <c r="C324" s="275"/>
      <c r="D324" s="96" t="s">
        <v>149</v>
      </c>
      <c r="E324" s="37"/>
      <c r="F324" s="37">
        <v>0</v>
      </c>
      <c r="G324" s="56"/>
    </row>
    <row r="325" spans="1:9" ht="27.6" customHeight="1" x14ac:dyDescent="0.25">
      <c r="A325" s="273">
        <v>3722</v>
      </c>
      <c r="B325" s="274"/>
      <c r="C325" s="275"/>
      <c r="D325" s="96" t="s">
        <v>150</v>
      </c>
      <c r="E325" s="37"/>
      <c r="F325" s="37">
        <v>0</v>
      </c>
      <c r="G325" s="56"/>
    </row>
    <row r="326" spans="1:9" ht="24.95" customHeight="1" x14ac:dyDescent="0.25">
      <c r="A326" s="267" t="s">
        <v>53</v>
      </c>
      <c r="B326" s="268"/>
      <c r="C326" s="269"/>
      <c r="D326" s="44" t="s">
        <v>219</v>
      </c>
      <c r="E326" s="73">
        <f>E327+E336+E341</f>
        <v>8425</v>
      </c>
      <c r="F326" s="51">
        <f>F327+F336+F341</f>
        <v>9176.25</v>
      </c>
      <c r="G326" s="51"/>
    </row>
    <row r="327" spans="1:9" ht="24.95" customHeight="1" x14ac:dyDescent="0.25">
      <c r="A327" s="258" t="s">
        <v>57</v>
      </c>
      <c r="B327" s="259"/>
      <c r="C327" s="260"/>
      <c r="D327" s="69" t="s">
        <v>4</v>
      </c>
      <c r="E327" s="72">
        <f>E328</f>
        <v>1250</v>
      </c>
      <c r="F327" s="104">
        <f>F328</f>
        <v>5861.97</v>
      </c>
      <c r="G327" s="56">
        <f t="shared" si="30"/>
        <v>468.95760000000007</v>
      </c>
    </row>
    <row r="328" spans="1:9" ht="24.95" customHeight="1" x14ac:dyDescent="0.25">
      <c r="A328" s="261">
        <v>3</v>
      </c>
      <c r="B328" s="262"/>
      <c r="C328" s="263"/>
      <c r="D328" s="68" t="s">
        <v>6</v>
      </c>
      <c r="E328" s="71">
        <f>E329+E333</f>
        <v>1250</v>
      </c>
      <c r="F328" s="71">
        <f>F329+F333</f>
        <v>5861.97</v>
      </c>
      <c r="G328" s="70"/>
    </row>
    <row r="329" spans="1:9" ht="24.95" customHeight="1" x14ac:dyDescent="0.25">
      <c r="A329" s="264">
        <v>32</v>
      </c>
      <c r="B329" s="265"/>
      <c r="C329" s="266"/>
      <c r="D329" s="123" t="s">
        <v>14</v>
      </c>
      <c r="E329" s="124">
        <f>1250</f>
        <v>1250</v>
      </c>
      <c r="F329" s="124">
        <f>F330</f>
        <v>5861.97</v>
      </c>
      <c r="G329" s="125">
        <f t="shared" si="30"/>
        <v>468.95760000000007</v>
      </c>
    </row>
    <row r="330" spans="1:9" ht="24.95" customHeight="1" x14ac:dyDescent="0.25">
      <c r="A330" s="270">
        <v>322</v>
      </c>
      <c r="B330" s="271"/>
      <c r="C330" s="272"/>
      <c r="D330" s="96" t="s">
        <v>123</v>
      </c>
      <c r="E330" s="71"/>
      <c r="F330" s="70">
        <f>F331+F332</f>
        <v>5861.97</v>
      </c>
      <c r="G330" s="70"/>
    </row>
    <row r="331" spans="1:9" ht="24.95" customHeight="1" x14ac:dyDescent="0.25">
      <c r="A331" s="273">
        <v>3222</v>
      </c>
      <c r="B331" s="274"/>
      <c r="C331" s="275"/>
      <c r="D331" s="96" t="s">
        <v>125</v>
      </c>
      <c r="E331" s="71"/>
      <c r="F331" s="71">
        <v>5861.97</v>
      </c>
      <c r="G331" s="70"/>
    </row>
    <row r="332" spans="1:9" ht="24.95" customHeight="1" x14ac:dyDescent="0.25">
      <c r="A332" s="273">
        <v>3225</v>
      </c>
      <c r="B332" s="274"/>
      <c r="C332" s="275"/>
      <c r="D332" s="96" t="s">
        <v>127</v>
      </c>
      <c r="E332" s="71"/>
      <c r="F332" s="71">
        <v>0</v>
      </c>
      <c r="G332" s="70"/>
    </row>
    <row r="333" spans="1:9" ht="24.95" customHeight="1" x14ac:dyDescent="0.25">
      <c r="A333" s="264">
        <v>42</v>
      </c>
      <c r="B333" s="265"/>
      <c r="C333" s="266"/>
      <c r="D333" s="123" t="s">
        <v>17</v>
      </c>
      <c r="E333" s="124"/>
      <c r="F333" s="124">
        <f>F334+F335</f>
        <v>0</v>
      </c>
      <c r="G333" s="125" t="e">
        <f t="shared" ref="G333" si="31">(F333/E333)*100</f>
        <v>#DIV/0!</v>
      </c>
    </row>
    <row r="334" spans="1:9" ht="24.95" customHeight="1" x14ac:dyDescent="0.25">
      <c r="A334" s="273">
        <v>4221</v>
      </c>
      <c r="B334" s="274"/>
      <c r="C334" s="275"/>
      <c r="D334" s="97" t="s">
        <v>152</v>
      </c>
      <c r="E334" s="71"/>
      <c r="F334" s="71">
        <v>0</v>
      </c>
      <c r="G334" s="70"/>
    </row>
    <row r="335" spans="1:9" ht="24.95" customHeight="1" x14ac:dyDescent="0.25">
      <c r="A335" s="273">
        <v>4227</v>
      </c>
      <c r="B335" s="274"/>
      <c r="C335" s="275"/>
      <c r="D335" s="96" t="s">
        <v>153</v>
      </c>
      <c r="E335" s="71"/>
      <c r="F335" s="71">
        <v>0</v>
      </c>
      <c r="G335" s="70"/>
    </row>
    <row r="336" spans="1:9" s="58" customFormat="1" ht="24.95" customHeight="1" x14ac:dyDescent="0.25">
      <c r="A336" s="258" t="s">
        <v>238</v>
      </c>
      <c r="B336" s="259"/>
      <c r="C336" s="260"/>
      <c r="D336" s="55" t="s">
        <v>29</v>
      </c>
      <c r="E336" s="56">
        <f>E337</f>
        <v>1125</v>
      </c>
      <c r="F336" s="56">
        <f t="shared" ref="F336:F337" si="32">F337</f>
        <v>157.79</v>
      </c>
      <c r="G336" s="56">
        <f t="shared" ref="G336" si="33">(F336/E336)*100</f>
        <v>14.025777777777776</v>
      </c>
      <c r="I336" s="116"/>
    </row>
    <row r="337" spans="1:9" ht="24.95" customHeight="1" x14ac:dyDescent="0.25">
      <c r="A337" s="261">
        <v>3</v>
      </c>
      <c r="B337" s="262"/>
      <c r="C337" s="263"/>
      <c r="D337" s="18" t="s">
        <v>6</v>
      </c>
      <c r="E337" s="37">
        <f>E338</f>
        <v>1125</v>
      </c>
      <c r="F337" s="37">
        <f t="shared" si="32"/>
        <v>157.79</v>
      </c>
      <c r="G337" s="37"/>
    </row>
    <row r="338" spans="1:9" ht="24.95" customHeight="1" x14ac:dyDescent="0.25">
      <c r="A338" s="264">
        <v>32</v>
      </c>
      <c r="B338" s="265"/>
      <c r="C338" s="266"/>
      <c r="D338" s="123" t="s">
        <v>14</v>
      </c>
      <c r="E338" s="124">
        <f>1125</f>
        <v>1125</v>
      </c>
      <c r="F338" s="124">
        <f>F339</f>
        <v>157.79</v>
      </c>
      <c r="G338" s="125">
        <f t="shared" ref="G338" si="34">(F338/E338)*100</f>
        <v>14.025777777777776</v>
      </c>
    </row>
    <row r="339" spans="1:9" ht="24.95" customHeight="1" x14ac:dyDescent="0.25">
      <c r="A339" s="270">
        <v>322</v>
      </c>
      <c r="B339" s="271"/>
      <c r="C339" s="272"/>
      <c r="D339" s="96" t="s">
        <v>123</v>
      </c>
      <c r="E339" s="37"/>
      <c r="F339" s="105">
        <f>F340</f>
        <v>157.79</v>
      </c>
      <c r="G339" s="38"/>
    </row>
    <row r="340" spans="1:9" ht="24.95" customHeight="1" x14ac:dyDescent="0.25">
      <c r="A340" s="273">
        <v>3222</v>
      </c>
      <c r="B340" s="274"/>
      <c r="C340" s="275"/>
      <c r="D340" s="96" t="s">
        <v>125</v>
      </c>
      <c r="E340" s="37"/>
      <c r="F340" s="37">
        <v>157.79</v>
      </c>
      <c r="G340" s="38"/>
    </row>
    <row r="341" spans="1:9" s="58" customFormat="1" ht="24.95" customHeight="1" x14ac:dyDescent="0.25">
      <c r="A341" s="258" t="s">
        <v>71</v>
      </c>
      <c r="B341" s="259"/>
      <c r="C341" s="260"/>
      <c r="D341" s="55" t="s">
        <v>33</v>
      </c>
      <c r="E341" s="56">
        <f>E342</f>
        <v>6050</v>
      </c>
      <c r="F341" s="56">
        <f>F342</f>
        <v>3156.49</v>
      </c>
      <c r="G341" s="56">
        <f t="shared" ref="G341" si="35">(F341/E341)*100</f>
        <v>52.173388429752066</v>
      </c>
      <c r="I341" s="116"/>
    </row>
    <row r="342" spans="1:9" ht="24.95" customHeight="1" x14ac:dyDescent="0.25">
      <c r="A342" s="261">
        <v>3</v>
      </c>
      <c r="B342" s="262"/>
      <c r="C342" s="263"/>
      <c r="D342" s="45" t="s">
        <v>6</v>
      </c>
      <c r="E342" s="37">
        <f>E343</f>
        <v>6050</v>
      </c>
      <c r="F342" s="37">
        <f t="shared" ref="F342" si="36">F343</f>
        <v>3156.49</v>
      </c>
      <c r="G342" s="37"/>
    </row>
    <row r="343" spans="1:9" ht="24.95" customHeight="1" x14ac:dyDescent="0.25">
      <c r="A343" s="264">
        <v>32</v>
      </c>
      <c r="B343" s="265"/>
      <c r="C343" s="266"/>
      <c r="D343" s="123" t="s">
        <v>14</v>
      </c>
      <c r="E343" s="124">
        <f>6050</f>
        <v>6050</v>
      </c>
      <c r="F343" s="124">
        <f>F344</f>
        <v>3156.49</v>
      </c>
      <c r="G343" s="125">
        <f t="shared" ref="G343" si="37">(F343/E343)*100</f>
        <v>52.173388429752066</v>
      </c>
    </row>
    <row r="344" spans="1:9" ht="24.95" customHeight="1" x14ac:dyDescent="0.25">
      <c r="A344" s="270">
        <v>322</v>
      </c>
      <c r="B344" s="271"/>
      <c r="C344" s="272"/>
      <c r="D344" s="96" t="s">
        <v>123</v>
      </c>
      <c r="E344" s="37"/>
      <c r="F344" s="105">
        <f>F345</f>
        <v>3156.49</v>
      </c>
      <c r="G344" s="38"/>
    </row>
    <row r="345" spans="1:9" ht="24.95" customHeight="1" x14ac:dyDescent="0.25">
      <c r="A345" s="273">
        <v>3222</v>
      </c>
      <c r="B345" s="274"/>
      <c r="C345" s="275"/>
      <c r="D345" s="96" t="s">
        <v>125</v>
      </c>
      <c r="E345" s="37"/>
      <c r="F345" s="37">
        <v>3156.49</v>
      </c>
      <c r="G345" s="38"/>
    </row>
    <row r="346" spans="1:9" ht="30" customHeight="1" x14ac:dyDescent="0.25">
      <c r="A346" s="267" t="s">
        <v>241</v>
      </c>
      <c r="B346" s="268"/>
      <c r="C346" s="269"/>
      <c r="D346" s="44" t="s">
        <v>218</v>
      </c>
      <c r="E346" s="51">
        <f>E347+E360+E373</f>
        <v>101325</v>
      </c>
      <c r="F346" s="51">
        <f>F347+F360+F373</f>
        <v>97796.38</v>
      </c>
      <c r="G346" s="51"/>
    </row>
    <row r="347" spans="1:9" s="58" customFormat="1" ht="24.95" customHeight="1" x14ac:dyDescent="0.25">
      <c r="A347" s="258" t="s">
        <v>57</v>
      </c>
      <c r="B347" s="259"/>
      <c r="C347" s="260"/>
      <c r="D347" s="55" t="s">
        <v>4</v>
      </c>
      <c r="E347" s="56">
        <f>E348</f>
        <v>25480</v>
      </c>
      <c r="F347" s="56">
        <f>F348</f>
        <v>97796.38</v>
      </c>
      <c r="G347" s="56">
        <f t="shared" ref="G347" si="38">(F347/E347)*100</f>
        <v>383.81624803767664</v>
      </c>
      <c r="I347" s="116"/>
    </row>
    <row r="348" spans="1:9" ht="24.95" customHeight="1" x14ac:dyDescent="0.25">
      <c r="A348" s="261">
        <v>3</v>
      </c>
      <c r="B348" s="262"/>
      <c r="C348" s="263"/>
      <c r="D348" s="18" t="s">
        <v>6</v>
      </c>
      <c r="E348" s="37">
        <f>SUM(E349:E356)</f>
        <v>25480</v>
      </c>
      <c r="F348" s="37">
        <f>F349+F356</f>
        <v>97796.38</v>
      </c>
      <c r="G348" s="37"/>
    </row>
    <row r="349" spans="1:9" ht="24.95" customHeight="1" x14ac:dyDescent="0.25">
      <c r="A349" s="264">
        <v>31</v>
      </c>
      <c r="B349" s="265"/>
      <c r="C349" s="266"/>
      <c r="D349" s="123" t="s">
        <v>7</v>
      </c>
      <c r="E349" s="124">
        <f>19350+1300+3500</f>
        <v>24150</v>
      </c>
      <c r="F349" s="124">
        <f>F350+F352+F354</f>
        <v>93285.38</v>
      </c>
      <c r="G349" s="125">
        <f t="shared" ref="G349" si="39">(F349/E349)*100</f>
        <v>386.27486542443069</v>
      </c>
    </row>
    <row r="350" spans="1:9" ht="24.95" customHeight="1" x14ac:dyDescent="0.25">
      <c r="A350" s="270">
        <v>311</v>
      </c>
      <c r="B350" s="271"/>
      <c r="C350" s="272"/>
      <c r="D350" s="96" t="s">
        <v>113</v>
      </c>
      <c r="E350" s="37"/>
      <c r="F350" s="105">
        <f>F351</f>
        <v>75616.67</v>
      </c>
      <c r="G350" s="38"/>
    </row>
    <row r="351" spans="1:9" ht="24.95" customHeight="1" x14ac:dyDescent="0.25">
      <c r="A351" s="273">
        <v>3111</v>
      </c>
      <c r="B351" s="274"/>
      <c r="C351" s="275"/>
      <c r="D351" s="96" t="s">
        <v>114</v>
      </c>
      <c r="E351" s="37"/>
      <c r="F351" s="37">
        <v>75616.67</v>
      </c>
      <c r="G351" s="38"/>
    </row>
    <row r="352" spans="1:9" ht="24.95" customHeight="1" x14ac:dyDescent="0.25">
      <c r="A352" s="270">
        <v>312</v>
      </c>
      <c r="B352" s="271"/>
      <c r="C352" s="272"/>
      <c r="D352" s="96" t="s">
        <v>115</v>
      </c>
      <c r="E352" s="37"/>
      <c r="F352" s="105">
        <f>F353</f>
        <v>5200</v>
      </c>
      <c r="G352" s="38"/>
    </row>
    <row r="353" spans="1:9" ht="24.95" customHeight="1" x14ac:dyDescent="0.25">
      <c r="A353" s="273">
        <v>3121</v>
      </c>
      <c r="B353" s="274"/>
      <c r="C353" s="275"/>
      <c r="D353" s="96" t="s">
        <v>115</v>
      </c>
      <c r="E353" s="37"/>
      <c r="F353" s="37">
        <v>5200</v>
      </c>
      <c r="G353" s="38"/>
    </row>
    <row r="354" spans="1:9" ht="24.95" customHeight="1" x14ac:dyDescent="0.25">
      <c r="A354" s="270">
        <v>313</v>
      </c>
      <c r="B354" s="271"/>
      <c r="C354" s="272"/>
      <c r="D354" s="96" t="s">
        <v>116</v>
      </c>
      <c r="E354" s="37"/>
      <c r="F354" s="105">
        <f>F355</f>
        <v>12468.71</v>
      </c>
      <c r="G354" s="38"/>
    </row>
    <row r="355" spans="1:9" ht="24.95" customHeight="1" x14ac:dyDescent="0.25">
      <c r="A355" s="273">
        <v>3132</v>
      </c>
      <c r="B355" s="274"/>
      <c r="C355" s="275"/>
      <c r="D355" s="96" t="s">
        <v>117</v>
      </c>
      <c r="E355" s="37"/>
      <c r="F355" s="37">
        <v>12468.71</v>
      </c>
      <c r="G355" s="38"/>
    </row>
    <row r="356" spans="1:9" ht="24.95" customHeight="1" x14ac:dyDescent="0.25">
      <c r="A356" s="264">
        <v>32</v>
      </c>
      <c r="B356" s="265"/>
      <c r="C356" s="266"/>
      <c r="D356" s="123" t="s">
        <v>73</v>
      </c>
      <c r="E356" s="124">
        <f>130+1200</f>
        <v>1330</v>
      </c>
      <c r="F356" s="124">
        <f>F357</f>
        <v>4511</v>
      </c>
      <c r="G356" s="125">
        <f t="shared" ref="G356" si="40">(F356/E356)*100</f>
        <v>339.17293233082705</v>
      </c>
    </row>
    <row r="357" spans="1:9" ht="24.95" customHeight="1" x14ac:dyDescent="0.25">
      <c r="A357" s="270">
        <v>321</v>
      </c>
      <c r="B357" s="271"/>
      <c r="C357" s="272"/>
      <c r="D357" s="96" t="s">
        <v>118</v>
      </c>
      <c r="E357" s="37"/>
      <c r="F357" s="105">
        <f>F358+F359</f>
        <v>4511</v>
      </c>
      <c r="G357" s="38"/>
    </row>
    <row r="358" spans="1:9" ht="24.95" customHeight="1" x14ac:dyDescent="0.25">
      <c r="A358" s="273">
        <v>3211</v>
      </c>
      <c r="B358" s="274"/>
      <c r="C358" s="275"/>
      <c r="D358" s="96" t="s">
        <v>119</v>
      </c>
      <c r="E358" s="37"/>
      <c r="F358" s="37">
        <v>180</v>
      </c>
      <c r="G358" s="38"/>
    </row>
    <row r="359" spans="1:9" ht="24.95" customHeight="1" x14ac:dyDescent="0.25">
      <c r="A359" s="273">
        <v>3212</v>
      </c>
      <c r="B359" s="274"/>
      <c r="C359" s="275"/>
      <c r="D359" s="96" t="s">
        <v>120</v>
      </c>
      <c r="E359" s="37"/>
      <c r="F359" s="37">
        <v>4331</v>
      </c>
      <c r="G359" s="38"/>
    </row>
    <row r="360" spans="1:9" s="58" customFormat="1" ht="24.95" customHeight="1" x14ac:dyDescent="0.25">
      <c r="A360" s="258" t="s">
        <v>238</v>
      </c>
      <c r="B360" s="259"/>
      <c r="C360" s="260"/>
      <c r="D360" s="55" t="s">
        <v>29</v>
      </c>
      <c r="E360" s="56">
        <f>E361</f>
        <v>13280</v>
      </c>
      <c r="F360" s="56">
        <f>F361</f>
        <v>0</v>
      </c>
      <c r="G360" s="56">
        <f t="shared" ref="G360" si="41">(F360/E360)*100</f>
        <v>0</v>
      </c>
      <c r="I360" s="116"/>
    </row>
    <row r="361" spans="1:9" ht="24.95" customHeight="1" x14ac:dyDescent="0.25">
      <c r="A361" s="261">
        <v>3</v>
      </c>
      <c r="B361" s="262"/>
      <c r="C361" s="263"/>
      <c r="D361" s="43" t="s">
        <v>6</v>
      </c>
      <c r="E361" s="37">
        <f>SUM(E362:E369)</f>
        <v>13280</v>
      </c>
      <c r="F361" s="37">
        <f>F362+F369</f>
        <v>0</v>
      </c>
      <c r="G361" s="37"/>
    </row>
    <row r="362" spans="1:9" ht="24.95" customHeight="1" x14ac:dyDescent="0.25">
      <c r="A362" s="264">
        <v>31</v>
      </c>
      <c r="B362" s="265"/>
      <c r="C362" s="266"/>
      <c r="D362" s="123" t="s">
        <v>7</v>
      </c>
      <c r="E362" s="124">
        <f>10000+1200+1500</f>
        <v>12700</v>
      </c>
      <c r="F362" s="124">
        <f>F367+F363+F365</f>
        <v>0</v>
      </c>
      <c r="G362" s="125">
        <f t="shared" ref="G362" si="42">(F362/E362)*100</f>
        <v>0</v>
      </c>
    </row>
    <row r="363" spans="1:9" ht="24.95" customHeight="1" x14ac:dyDescent="0.25">
      <c r="A363" s="270">
        <v>311</v>
      </c>
      <c r="B363" s="271"/>
      <c r="C363" s="272"/>
      <c r="D363" s="96" t="s">
        <v>113</v>
      </c>
      <c r="E363" s="37"/>
      <c r="F363" s="105">
        <f>F364</f>
        <v>0</v>
      </c>
      <c r="G363" s="56"/>
    </row>
    <row r="364" spans="1:9" ht="24.95" customHeight="1" x14ac:dyDescent="0.25">
      <c r="A364" s="273">
        <v>3111</v>
      </c>
      <c r="B364" s="274"/>
      <c r="C364" s="275"/>
      <c r="D364" s="96" t="s">
        <v>114</v>
      </c>
      <c r="E364" s="37"/>
      <c r="F364" s="37">
        <v>0</v>
      </c>
      <c r="G364" s="56"/>
    </row>
    <row r="365" spans="1:9" ht="24.95" customHeight="1" x14ac:dyDescent="0.25">
      <c r="A365" s="270">
        <v>312</v>
      </c>
      <c r="B365" s="271"/>
      <c r="C365" s="272"/>
      <c r="D365" s="96" t="s">
        <v>115</v>
      </c>
      <c r="E365" s="37"/>
      <c r="F365" s="105">
        <f>F366</f>
        <v>0</v>
      </c>
      <c r="G365" s="38"/>
    </row>
    <row r="366" spans="1:9" ht="24.95" customHeight="1" x14ac:dyDescent="0.25">
      <c r="A366" s="273">
        <v>3121</v>
      </c>
      <c r="B366" s="274"/>
      <c r="C366" s="275"/>
      <c r="D366" s="96" t="s">
        <v>115</v>
      </c>
      <c r="E366" s="37"/>
      <c r="F366" s="37">
        <v>0</v>
      </c>
      <c r="G366" s="38"/>
    </row>
    <row r="367" spans="1:9" ht="24.95" customHeight="1" x14ac:dyDescent="0.25">
      <c r="A367" s="270">
        <v>313</v>
      </c>
      <c r="B367" s="271"/>
      <c r="C367" s="272"/>
      <c r="D367" s="96" t="s">
        <v>116</v>
      </c>
      <c r="E367" s="37"/>
      <c r="F367" s="105">
        <f>F368</f>
        <v>0</v>
      </c>
      <c r="G367" s="38"/>
    </row>
    <row r="368" spans="1:9" ht="24.95" customHeight="1" x14ac:dyDescent="0.25">
      <c r="A368" s="273">
        <v>3132</v>
      </c>
      <c r="B368" s="274"/>
      <c r="C368" s="275"/>
      <c r="D368" s="96" t="s">
        <v>117</v>
      </c>
      <c r="E368" s="37"/>
      <c r="F368" s="37">
        <v>0</v>
      </c>
      <c r="G368" s="38"/>
    </row>
    <row r="369" spans="1:9" ht="24.95" customHeight="1" x14ac:dyDescent="0.25">
      <c r="A369" s="264">
        <v>32</v>
      </c>
      <c r="B369" s="265"/>
      <c r="C369" s="266"/>
      <c r="D369" s="123" t="s">
        <v>73</v>
      </c>
      <c r="E369" s="124">
        <f>130+450</f>
        <v>580</v>
      </c>
      <c r="F369" s="124">
        <f>F370</f>
        <v>0</v>
      </c>
      <c r="G369" s="125">
        <f t="shared" ref="G369" si="43">(F369/E369)*100</f>
        <v>0</v>
      </c>
    </row>
    <row r="370" spans="1:9" ht="24.95" customHeight="1" x14ac:dyDescent="0.25">
      <c r="A370" s="270">
        <v>321</v>
      </c>
      <c r="B370" s="271"/>
      <c r="C370" s="272"/>
      <c r="D370" s="96" t="s">
        <v>118</v>
      </c>
      <c r="E370" s="37"/>
      <c r="F370" s="105">
        <f>F372+F371</f>
        <v>0</v>
      </c>
      <c r="G370" s="38"/>
    </row>
    <row r="371" spans="1:9" ht="24.95" customHeight="1" x14ac:dyDescent="0.25">
      <c r="A371" s="273">
        <v>3211</v>
      </c>
      <c r="B371" s="274"/>
      <c r="C371" s="275"/>
      <c r="D371" s="96" t="s">
        <v>119</v>
      </c>
      <c r="E371" s="37"/>
      <c r="F371" s="37">
        <v>0</v>
      </c>
      <c r="G371" s="38"/>
    </row>
    <row r="372" spans="1:9" ht="24.95" customHeight="1" x14ac:dyDescent="0.25">
      <c r="A372" s="273">
        <v>3212</v>
      </c>
      <c r="B372" s="274"/>
      <c r="C372" s="275"/>
      <c r="D372" s="96" t="s">
        <v>120</v>
      </c>
      <c r="E372" s="37"/>
      <c r="F372" s="37">
        <v>0</v>
      </c>
      <c r="G372" s="38"/>
    </row>
    <row r="373" spans="1:9" s="58" customFormat="1" ht="24.95" customHeight="1" x14ac:dyDescent="0.25">
      <c r="A373" s="258" t="s">
        <v>71</v>
      </c>
      <c r="B373" s="259"/>
      <c r="C373" s="260"/>
      <c r="D373" s="55" t="s">
        <v>33</v>
      </c>
      <c r="E373" s="56">
        <f>E374</f>
        <v>62565</v>
      </c>
      <c r="F373" s="56">
        <f>F374</f>
        <v>0</v>
      </c>
      <c r="G373" s="56">
        <f t="shared" ref="G373" si="44">(F373/E373)*100</f>
        <v>0</v>
      </c>
      <c r="I373" s="116"/>
    </row>
    <row r="374" spans="1:9" ht="24.95" customHeight="1" x14ac:dyDescent="0.25">
      <c r="A374" s="261">
        <v>3</v>
      </c>
      <c r="B374" s="262"/>
      <c r="C374" s="263"/>
      <c r="D374" s="43" t="s">
        <v>6</v>
      </c>
      <c r="E374" s="37">
        <f>SUM(E375:E382)</f>
        <v>62565</v>
      </c>
      <c r="F374" s="37">
        <f>F375+F382</f>
        <v>0</v>
      </c>
      <c r="G374" s="37"/>
    </row>
    <row r="375" spans="1:9" ht="24.95" customHeight="1" x14ac:dyDescent="0.25">
      <c r="A375" s="264">
        <v>31</v>
      </c>
      <c r="B375" s="265"/>
      <c r="C375" s="266"/>
      <c r="D375" s="123" t="s">
        <v>7</v>
      </c>
      <c r="E375" s="124">
        <f>7400+6700+45500</f>
        <v>59600</v>
      </c>
      <c r="F375" s="124">
        <f>F376+F380+F378</f>
        <v>0</v>
      </c>
      <c r="G375" s="125">
        <f t="shared" ref="G375" si="45">(F375/E375)*100</f>
        <v>0</v>
      </c>
    </row>
    <row r="376" spans="1:9" ht="24.95" customHeight="1" x14ac:dyDescent="0.25">
      <c r="A376" s="270">
        <v>311</v>
      </c>
      <c r="B376" s="271"/>
      <c r="C376" s="272"/>
      <c r="D376" s="96" t="s">
        <v>113</v>
      </c>
      <c r="E376" s="37"/>
      <c r="F376" s="105">
        <f>F377</f>
        <v>0</v>
      </c>
      <c r="G376" s="38"/>
    </row>
    <row r="377" spans="1:9" ht="24.95" customHeight="1" x14ac:dyDescent="0.25">
      <c r="A377" s="273">
        <v>3111</v>
      </c>
      <c r="B377" s="274"/>
      <c r="C377" s="275"/>
      <c r="D377" s="96" t="s">
        <v>114</v>
      </c>
      <c r="E377" s="37"/>
      <c r="F377" s="37">
        <v>0</v>
      </c>
      <c r="G377" s="38"/>
    </row>
    <row r="378" spans="1:9" ht="24.95" customHeight="1" x14ac:dyDescent="0.25">
      <c r="A378" s="270">
        <v>312</v>
      </c>
      <c r="B378" s="271"/>
      <c r="C378" s="272"/>
      <c r="D378" s="96" t="s">
        <v>115</v>
      </c>
      <c r="E378" s="37"/>
      <c r="F378" s="105">
        <f>F379</f>
        <v>0</v>
      </c>
      <c r="G378" s="38"/>
    </row>
    <row r="379" spans="1:9" ht="24.95" customHeight="1" x14ac:dyDescent="0.25">
      <c r="A379" s="273">
        <v>3121</v>
      </c>
      <c r="B379" s="274"/>
      <c r="C379" s="275"/>
      <c r="D379" s="96" t="s">
        <v>115</v>
      </c>
      <c r="E379" s="37"/>
      <c r="F379" s="37">
        <v>0</v>
      </c>
      <c r="G379" s="38"/>
    </row>
    <row r="380" spans="1:9" ht="24.95" customHeight="1" x14ac:dyDescent="0.25">
      <c r="A380" s="270">
        <v>313</v>
      </c>
      <c r="B380" s="271"/>
      <c r="C380" s="272"/>
      <c r="D380" s="96" t="s">
        <v>116</v>
      </c>
      <c r="E380" s="37"/>
      <c r="F380" s="105">
        <f>F381</f>
        <v>0</v>
      </c>
      <c r="G380" s="38"/>
    </row>
    <row r="381" spans="1:9" ht="24.95" customHeight="1" x14ac:dyDescent="0.25">
      <c r="A381" s="273">
        <v>3132</v>
      </c>
      <c r="B381" s="274"/>
      <c r="C381" s="275"/>
      <c r="D381" s="96" t="s">
        <v>117</v>
      </c>
      <c r="E381" s="37"/>
      <c r="F381" s="37">
        <v>0</v>
      </c>
      <c r="G381" s="38"/>
    </row>
    <row r="382" spans="1:9" ht="24.95" customHeight="1" x14ac:dyDescent="0.25">
      <c r="A382" s="264">
        <v>32</v>
      </c>
      <c r="B382" s="265"/>
      <c r="C382" s="266"/>
      <c r="D382" s="123" t="s">
        <v>73</v>
      </c>
      <c r="E382" s="124">
        <f>2600+365</f>
        <v>2965</v>
      </c>
      <c r="F382" s="124">
        <f>F383</f>
        <v>0</v>
      </c>
      <c r="G382" s="125">
        <f t="shared" ref="G382:G389" si="46">(F382/E382)*100</f>
        <v>0</v>
      </c>
    </row>
    <row r="383" spans="1:9" ht="24.95" customHeight="1" x14ac:dyDescent="0.25">
      <c r="A383" s="270">
        <v>321</v>
      </c>
      <c r="B383" s="271"/>
      <c r="C383" s="272"/>
      <c r="D383" s="96" t="s">
        <v>118</v>
      </c>
      <c r="E383" s="37"/>
      <c r="F383" s="105">
        <f>F385+F384</f>
        <v>0</v>
      </c>
      <c r="G383" s="56"/>
    </row>
    <row r="384" spans="1:9" ht="24.95" customHeight="1" x14ac:dyDescent="0.25">
      <c r="A384" s="273">
        <v>3211</v>
      </c>
      <c r="B384" s="274"/>
      <c r="C384" s="275"/>
      <c r="D384" s="96" t="s">
        <v>119</v>
      </c>
      <c r="E384" s="37"/>
      <c r="F384" s="37">
        <v>0</v>
      </c>
      <c r="G384" s="38"/>
    </row>
    <row r="385" spans="1:9" ht="24.95" customHeight="1" x14ac:dyDescent="0.25">
      <c r="A385" s="273">
        <v>3212</v>
      </c>
      <c r="B385" s="274"/>
      <c r="C385" s="275"/>
      <c r="D385" s="96" t="s">
        <v>120</v>
      </c>
      <c r="E385" s="37"/>
      <c r="F385" s="37">
        <v>0</v>
      </c>
      <c r="G385" s="56"/>
    </row>
    <row r="386" spans="1:9" ht="24.95" customHeight="1" x14ac:dyDescent="0.25">
      <c r="A386" s="267" t="s">
        <v>54</v>
      </c>
      <c r="B386" s="268"/>
      <c r="C386" s="269"/>
      <c r="D386" s="44" t="s">
        <v>55</v>
      </c>
      <c r="E386" s="51">
        <f>E388</f>
        <v>22650</v>
      </c>
      <c r="F386" s="51">
        <f>F388</f>
        <v>18905.760000000002</v>
      </c>
      <c r="G386" s="51"/>
    </row>
    <row r="387" spans="1:9" s="58" customFormat="1" ht="24.95" customHeight="1" x14ac:dyDescent="0.25">
      <c r="A387" s="258" t="s">
        <v>57</v>
      </c>
      <c r="B387" s="259"/>
      <c r="C387" s="260"/>
      <c r="D387" s="55" t="s">
        <v>4</v>
      </c>
      <c r="E387" s="56">
        <f>E388</f>
        <v>22650</v>
      </c>
      <c r="F387" s="56">
        <f>F388</f>
        <v>18905.760000000002</v>
      </c>
      <c r="G387" s="56">
        <f t="shared" si="46"/>
        <v>83.469139072847682</v>
      </c>
      <c r="I387" s="116"/>
    </row>
    <row r="388" spans="1:9" ht="24.95" customHeight="1" x14ac:dyDescent="0.25">
      <c r="A388" s="261">
        <v>3</v>
      </c>
      <c r="B388" s="262"/>
      <c r="C388" s="263"/>
      <c r="D388" s="18" t="s">
        <v>6</v>
      </c>
      <c r="E388" s="37">
        <f>E389+E396</f>
        <v>22650</v>
      </c>
      <c r="F388" s="37">
        <f>F389+F396</f>
        <v>18905.760000000002</v>
      </c>
      <c r="G388" s="37"/>
    </row>
    <row r="389" spans="1:9" ht="24.95" customHeight="1" x14ac:dyDescent="0.25">
      <c r="A389" s="264">
        <v>31</v>
      </c>
      <c r="B389" s="265"/>
      <c r="C389" s="266"/>
      <c r="D389" s="123" t="s">
        <v>7</v>
      </c>
      <c r="E389" s="124">
        <f>18000+1000+600</f>
        <v>19600</v>
      </c>
      <c r="F389" s="124">
        <f>F390+F394+F392</f>
        <v>18627.02</v>
      </c>
      <c r="G389" s="125">
        <f t="shared" si="46"/>
        <v>95.035816326530622</v>
      </c>
    </row>
    <row r="390" spans="1:9" ht="24.95" customHeight="1" x14ac:dyDescent="0.25">
      <c r="A390" s="270">
        <v>311</v>
      </c>
      <c r="B390" s="271"/>
      <c r="C390" s="272"/>
      <c r="D390" s="96" t="s">
        <v>113</v>
      </c>
      <c r="E390" s="37"/>
      <c r="F390" s="105">
        <f>F391</f>
        <v>17678.46</v>
      </c>
      <c r="G390" s="38"/>
    </row>
    <row r="391" spans="1:9" ht="24.95" customHeight="1" x14ac:dyDescent="0.25">
      <c r="A391" s="273">
        <v>3111</v>
      </c>
      <c r="B391" s="274"/>
      <c r="C391" s="275"/>
      <c r="D391" s="96" t="s">
        <v>114</v>
      </c>
      <c r="E391" s="37"/>
      <c r="F391" s="37">
        <v>17678.46</v>
      </c>
      <c r="G391" s="38"/>
    </row>
    <row r="392" spans="1:9" ht="24.95" customHeight="1" x14ac:dyDescent="0.25">
      <c r="A392" s="270">
        <v>312</v>
      </c>
      <c r="B392" s="271"/>
      <c r="C392" s="272"/>
      <c r="D392" s="96" t="s">
        <v>115</v>
      </c>
      <c r="E392" s="37"/>
      <c r="F392" s="105">
        <f>F393</f>
        <v>400</v>
      </c>
      <c r="G392" s="38"/>
    </row>
    <row r="393" spans="1:9" ht="24.95" customHeight="1" x14ac:dyDescent="0.25">
      <c r="A393" s="273">
        <v>3121</v>
      </c>
      <c r="B393" s="274"/>
      <c r="C393" s="275"/>
      <c r="D393" s="96" t="s">
        <v>115</v>
      </c>
      <c r="E393" s="37"/>
      <c r="F393" s="37">
        <v>400</v>
      </c>
      <c r="G393" s="38"/>
    </row>
    <row r="394" spans="1:9" ht="24.95" customHeight="1" x14ac:dyDescent="0.25">
      <c r="A394" s="270">
        <v>313</v>
      </c>
      <c r="B394" s="271"/>
      <c r="C394" s="272"/>
      <c r="D394" s="96" t="s">
        <v>116</v>
      </c>
      <c r="E394" s="37"/>
      <c r="F394" s="105">
        <f>F395</f>
        <v>548.55999999999995</v>
      </c>
      <c r="G394" s="38"/>
    </row>
    <row r="395" spans="1:9" ht="24.95" customHeight="1" x14ac:dyDescent="0.25">
      <c r="A395" s="273">
        <v>3132</v>
      </c>
      <c r="B395" s="274"/>
      <c r="C395" s="275"/>
      <c r="D395" s="96" t="s">
        <v>117</v>
      </c>
      <c r="E395" s="37"/>
      <c r="F395" s="37">
        <v>548.55999999999995</v>
      </c>
      <c r="G395" s="38"/>
    </row>
    <row r="396" spans="1:9" ht="24.95" customHeight="1" x14ac:dyDescent="0.25">
      <c r="A396" s="264">
        <v>32</v>
      </c>
      <c r="B396" s="265"/>
      <c r="C396" s="266"/>
      <c r="D396" s="123" t="s">
        <v>14</v>
      </c>
      <c r="E396" s="124">
        <f>750+300+750+1000+250</f>
        <v>3050</v>
      </c>
      <c r="F396" s="124">
        <f>F397+F400+F402</f>
        <v>278.74</v>
      </c>
      <c r="G396" s="125">
        <f t="shared" ref="G396" si="47">(F396/E396)*100</f>
        <v>9.1390163934426223</v>
      </c>
    </row>
    <row r="397" spans="1:9" ht="24.95" customHeight="1" x14ac:dyDescent="0.25">
      <c r="A397" s="270">
        <v>321</v>
      </c>
      <c r="B397" s="271"/>
      <c r="C397" s="272"/>
      <c r="D397" s="96" t="s">
        <v>118</v>
      </c>
      <c r="E397" s="37"/>
      <c r="F397" s="105">
        <f>F399+F398</f>
        <v>278.74</v>
      </c>
      <c r="G397" s="38"/>
    </row>
    <row r="398" spans="1:9" ht="24.95" customHeight="1" x14ac:dyDescent="0.25">
      <c r="A398" s="273">
        <v>3211</v>
      </c>
      <c r="B398" s="274"/>
      <c r="C398" s="275"/>
      <c r="D398" s="96" t="s">
        <v>119</v>
      </c>
      <c r="E398" s="37"/>
      <c r="F398" s="37">
        <v>0</v>
      </c>
      <c r="G398" s="38"/>
    </row>
    <row r="399" spans="1:9" ht="24.95" customHeight="1" x14ac:dyDescent="0.25">
      <c r="A399" s="273">
        <v>3212</v>
      </c>
      <c r="B399" s="274"/>
      <c r="C399" s="275"/>
      <c r="D399" s="96" t="s">
        <v>120</v>
      </c>
      <c r="E399" s="37"/>
      <c r="F399" s="37">
        <v>278.74</v>
      </c>
      <c r="G399" s="38"/>
    </row>
    <row r="400" spans="1:9" ht="24.95" customHeight="1" x14ac:dyDescent="0.25">
      <c r="A400" s="270">
        <v>322</v>
      </c>
      <c r="B400" s="271"/>
      <c r="C400" s="272"/>
      <c r="D400" s="96" t="s">
        <v>123</v>
      </c>
      <c r="E400" s="105"/>
      <c r="F400" s="105">
        <f>F401</f>
        <v>0</v>
      </c>
      <c r="G400" s="56"/>
    </row>
    <row r="401" spans="1:7" ht="24.95" customHeight="1" x14ac:dyDescent="0.25">
      <c r="A401" s="273">
        <v>3221</v>
      </c>
      <c r="B401" s="274"/>
      <c r="C401" s="275"/>
      <c r="D401" s="96" t="s">
        <v>124</v>
      </c>
      <c r="E401" s="37"/>
      <c r="F401" s="37">
        <v>0</v>
      </c>
      <c r="G401" s="56"/>
    </row>
    <row r="402" spans="1:7" ht="24.95" customHeight="1" x14ac:dyDescent="0.25">
      <c r="A402" s="270">
        <v>323</v>
      </c>
      <c r="B402" s="271"/>
      <c r="C402" s="272"/>
      <c r="D402" s="96" t="s">
        <v>128</v>
      </c>
      <c r="E402" s="105"/>
      <c r="F402" s="105">
        <f>F403</f>
        <v>0</v>
      </c>
      <c r="G402" s="56"/>
    </row>
    <row r="403" spans="1:7" ht="24.95" customHeight="1" x14ac:dyDescent="0.25">
      <c r="A403" s="273">
        <v>3237</v>
      </c>
      <c r="B403" s="274"/>
      <c r="C403" s="275"/>
      <c r="D403" s="96" t="s">
        <v>133</v>
      </c>
      <c r="E403" s="37"/>
      <c r="F403" s="37">
        <v>0</v>
      </c>
      <c r="G403" s="56"/>
    </row>
  </sheetData>
  <mergeCells count="393">
    <mergeCell ref="A253:C253"/>
    <mergeCell ref="A254:C254"/>
    <mergeCell ref="A19:C19"/>
    <mergeCell ref="A20:C20"/>
    <mergeCell ref="A398:C398"/>
    <mergeCell ref="A365:C365"/>
    <mergeCell ref="A366:C366"/>
    <mergeCell ref="A371:C371"/>
    <mergeCell ref="A378:C378"/>
    <mergeCell ref="A379:C379"/>
    <mergeCell ref="A384:C384"/>
    <mergeCell ref="A324:C324"/>
    <mergeCell ref="A29:C29"/>
    <mergeCell ref="A58:C58"/>
    <mergeCell ref="A59:C59"/>
    <mergeCell ref="A131:C131"/>
    <mergeCell ref="A132:C132"/>
    <mergeCell ref="A136:C136"/>
    <mergeCell ref="A167:C167"/>
    <mergeCell ref="A169:C169"/>
    <mergeCell ref="A172:C172"/>
    <mergeCell ref="A395:C395"/>
    <mergeCell ref="A114:C114"/>
    <mergeCell ref="A119:C119"/>
    <mergeCell ref="A107:C107"/>
    <mergeCell ref="A125:C125"/>
    <mergeCell ref="A123:C123"/>
    <mergeCell ref="A3:G3"/>
    <mergeCell ref="A41:C41"/>
    <mergeCell ref="A38:C38"/>
    <mergeCell ref="A32:C32"/>
    <mergeCell ref="A33:C33"/>
    <mergeCell ref="A30:C30"/>
    <mergeCell ref="A31:C31"/>
    <mergeCell ref="A81:C81"/>
    <mergeCell ref="A82:C82"/>
    <mergeCell ref="A83:C83"/>
    <mergeCell ref="A44:C44"/>
    <mergeCell ref="A47:C47"/>
    <mergeCell ref="A48:C48"/>
    <mergeCell ref="A54:C54"/>
    <mergeCell ref="A55:C55"/>
    <mergeCell ref="A45:C45"/>
    <mergeCell ref="A46:C46"/>
    <mergeCell ref="A121:C121"/>
    <mergeCell ref="A64:C64"/>
    <mergeCell ref="A349:C349"/>
    <mergeCell ref="A308:C308"/>
    <mergeCell ref="A309:C309"/>
    <mergeCell ref="A297:C297"/>
    <mergeCell ref="A298:C298"/>
    <mergeCell ref="A299:C299"/>
    <mergeCell ref="A300:C300"/>
    <mergeCell ref="A307:C307"/>
    <mergeCell ref="A305:C305"/>
    <mergeCell ref="A317:C317"/>
    <mergeCell ref="A304:C304"/>
    <mergeCell ref="A321:C321"/>
    <mergeCell ref="A336:C336"/>
    <mergeCell ref="A335:C335"/>
    <mergeCell ref="A332:C332"/>
    <mergeCell ref="A313:C313"/>
    <mergeCell ref="A314:C314"/>
    <mergeCell ref="A318:C318"/>
    <mergeCell ref="A319:C319"/>
    <mergeCell ref="A267:C267"/>
    <mergeCell ref="A8:D8"/>
    <mergeCell ref="A73:C73"/>
    <mergeCell ref="A39:C39"/>
    <mergeCell ref="A40:C40"/>
    <mergeCell ref="A71:C71"/>
    <mergeCell ref="A7:D7"/>
    <mergeCell ref="A106:C106"/>
    <mergeCell ref="A117:C117"/>
    <mergeCell ref="A109:C109"/>
    <mergeCell ref="A220:C220"/>
    <mergeCell ref="A226:C226"/>
    <mergeCell ref="A222:C222"/>
    <mergeCell ref="A140:C140"/>
    <mergeCell ref="A141:C141"/>
    <mergeCell ref="A142:C142"/>
    <mergeCell ref="A146:C146"/>
    <mergeCell ref="A138:C138"/>
    <mergeCell ref="A139:C139"/>
    <mergeCell ref="A158:C158"/>
    <mergeCell ref="A163:C163"/>
    <mergeCell ref="A191:C191"/>
    <mergeCell ref="A105:C105"/>
    <mergeCell ref="A113:C113"/>
    <mergeCell ref="A274:C274"/>
    <mergeCell ref="A124:C124"/>
    <mergeCell ref="A128:C128"/>
    <mergeCell ref="A182:C182"/>
    <mergeCell ref="A183:C183"/>
    <mergeCell ref="A129:C129"/>
    <mergeCell ref="A130:C130"/>
    <mergeCell ref="A137:C137"/>
    <mergeCell ref="A257:C257"/>
    <mergeCell ref="A127:C127"/>
    <mergeCell ref="A180:C180"/>
    <mergeCell ref="A149:C149"/>
    <mergeCell ref="A150:C150"/>
    <mergeCell ref="A151:C151"/>
    <mergeCell ref="A159:C159"/>
    <mergeCell ref="A160:C160"/>
    <mergeCell ref="A166:C166"/>
    <mergeCell ref="A156:C156"/>
    <mergeCell ref="A126:C126"/>
    <mergeCell ref="A248:C248"/>
    <mergeCell ref="A144:C144"/>
    <mergeCell ref="A147:C147"/>
    <mergeCell ref="A148:C148"/>
    <mergeCell ref="A145:C145"/>
    <mergeCell ref="A276:C276"/>
    <mergeCell ref="A260:C260"/>
    <mergeCell ref="A266:C266"/>
    <mergeCell ref="A243:C243"/>
    <mergeCell ref="A9:C9"/>
    <mergeCell ref="A10:C10"/>
    <mergeCell ref="A14:C14"/>
    <mergeCell ref="A112:C112"/>
    <mergeCell ref="A11:C11"/>
    <mergeCell ref="A12:C12"/>
    <mergeCell ref="A13:C13"/>
    <mergeCell ref="A72:C72"/>
    <mergeCell ref="A15:C15"/>
    <mergeCell ref="A16:C16"/>
    <mergeCell ref="A17:C17"/>
    <mergeCell ref="A37:C37"/>
    <mergeCell ref="A18:C18"/>
    <mergeCell ref="A22:C22"/>
    <mergeCell ref="A24:C24"/>
    <mergeCell ref="A25:C25"/>
    <mergeCell ref="A27:C27"/>
    <mergeCell ref="A28:C28"/>
    <mergeCell ref="A26:C26"/>
    <mergeCell ref="A57:C57"/>
    <mergeCell ref="A192:C192"/>
    <mergeCell ref="A193:C193"/>
    <mergeCell ref="A194:C194"/>
    <mergeCell ref="A195:C195"/>
    <mergeCell ref="A196:C196"/>
    <mergeCell ref="A161:C161"/>
    <mergeCell ref="A162:C162"/>
    <mergeCell ref="A221:C221"/>
    <mergeCell ref="A310:C310"/>
    <mergeCell ref="A271:C271"/>
    <mergeCell ref="A262:C262"/>
    <mergeCell ref="A272:C272"/>
    <mergeCell ref="A296:C296"/>
    <mergeCell ref="A279:C279"/>
    <mergeCell ref="A283:C283"/>
    <mergeCell ref="A284:C284"/>
    <mergeCell ref="A294:C294"/>
    <mergeCell ref="A264:C264"/>
    <mergeCell ref="A265:C265"/>
    <mergeCell ref="A281:C281"/>
    <mergeCell ref="A282:C282"/>
    <mergeCell ref="A277:C277"/>
    <mergeCell ref="A278:C278"/>
    <mergeCell ref="A306:C306"/>
    <mergeCell ref="A288:C288"/>
    <mergeCell ref="A289:C289"/>
    <mergeCell ref="A280:C280"/>
    <mergeCell ref="A293:C293"/>
    <mergeCell ref="A301:C301"/>
    <mergeCell ref="A285:C285"/>
    <mergeCell ref="A286:C286"/>
    <mergeCell ref="A269:C269"/>
    <mergeCell ref="A390:C390"/>
    <mergeCell ref="A287:C287"/>
    <mergeCell ref="A273:C273"/>
    <mergeCell ref="A330:C330"/>
    <mergeCell ref="A331:C331"/>
    <mergeCell ref="A344:C344"/>
    <mergeCell ref="A345:C345"/>
    <mergeCell ref="A339:C339"/>
    <mergeCell ref="A340:C340"/>
    <mergeCell ref="A350:C350"/>
    <mergeCell ref="A353:C353"/>
    <mergeCell ref="A356:C356"/>
    <mergeCell ref="A352:C352"/>
    <mergeCell ref="A351:C351"/>
    <mergeCell ref="A348:C348"/>
    <mergeCell ref="A316:C316"/>
    <mergeCell ref="A396:C396"/>
    <mergeCell ref="A391:C391"/>
    <mergeCell ref="A394:C394"/>
    <mergeCell ref="A376:C376"/>
    <mergeCell ref="A377:C377"/>
    <mergeCell ref="A367:C367"/>
    <mergeCell ref="A368:C368"/>
    <mergeCell ref="A354:C354"/>
    <mergeCell ref="A355:C355"/>
    <mergeCell ref="A357:C357"/>
    <mergeCell ref="A358:C358"/>
    <mergeCell ref="A370:C370"/>
    <mergeCell ref="A372:C372"/>
    <mergeCell ref="A386:C386"/>
    <mergeCell ref="A387:C387"/>
    <mergeCell ref="A388:C388"/>
    <mergeCell ref="A389:C389"/>
    <mergeCell ref="A383:C383"/>
    <mergeCell ref="A385:C385"/>
    <mergeCell ref="A382:C382"/>
    <mergeCell ref="A369:C369"/>
    <mergeCell ref="A362:C362"/>
    <mergeCell ref="A360:C360"/>
    <mergeCell ref="A361:C361"/>
    <mergeCell ref="A373:C373"/>
    <mergeCell ref="A374:C374"/>
    <mergeCell ref="A375:C375"/>
    <mergeCell ref="A381:C381"/>
    <mergeCell ref="A363:C363"/>
    <mergeCell ref="A364:C364"/>
    <mergeCell ref="A380:C380"/>
    <mergeCell ref="A320:C320"/>
    <mergeCell ref="A328:C328"/>
    <mergeCell ref="A329:C329"/>
    <mergeCell ref="A327:C327"/>
    <mergeCell ref="A325:C325"/>
    <mergeCell ref="A322:C322"/>
    <mergeCell ref="A323:C323"/>
    <mergeCell ref="A343:C343"/>
    <mergeCell ref="A346:C346"/>
    <mergeCell ref="A347:C347"/>
    <mergeCell ref="A326:C326"/>
    <mergeCell ref="A333:C333"/>
    <mergeCell ref="A334:C334"/>
    <mergeCell ref="A338:C338"/>
    <mergeCell ref="A341:C341"/>
    <mergeCell ref="A342:C342"/>
    <mergeCell ref="A337:C337"/>
    <mergeCell ref="A52:C52"/>
    <mergeCell ref="A53:C53"/>
    <mergeCell ref="A34:C34"/>
    <mergeCell ref="A35:C35"/>
    <mergeCell ref="A36:C36"/>
    <mergeCell ref="A42:C42"/>
    <mergeCell ref="A43:C43"/>
    <mergeCell ref="A56:C56"/>
    <mergeCell ref="A60:C60"/>
    <mergeCell ref="A84:C84"/>
    <mergeCell ref="A97:C97"/>
    <mergeCell ref="A102:C102"/>
    <mergeCell ref="A100:C100"/>
    <mergeCell ref="A101:C101"/>
    <mergeCell ref="A74:C74"/>
    <mergeCell ref="A75:C75"/>
    <mergeCell ref="A76:C76"/>
    <mergeCell ref="A77:C77"/>
    <mergeCell ref="A95:C95"/>
    <mergeCell ref="A96:C96"/>
    <mergeCell ref="A79:C79"/>
    <mergeCell ref="A80:C80"/>
    <mergeCell ref="A78:C78"/>
    <mergeCell ref="A85:C85"/>
    <mergeCell ref="A86:C86"/>
    <mergeCell ref="A91:C91"/>
    <mergeCell ref="A90:C90"/>
    <mergeCell ref="A98:C98"/>
    <mergeCell ref="A99:C99"/>
    <mergeCell ref="A171:C171"/>
    <mergeCell ref="A174:C174"/>
    <mergeCell ref="A175:C175"/>
    <mergeCell ref="A176:C176"/>
    <mergeCell ref="A178:C178"/>
    <mergeCell ref="A133:C133"/>
    <mergeCell ref="A164:C164"/>
    <mergeCell ref="A165:C165"/>
    <mergeCell ref="A190:C190"/>
    <mergeCell ref="A185:C185"/>
    <mergeCell ref="A186:C186"/>
    <mergeCell ref="A400:C400"/>
    <mergeCell ref="A401:C401"/>
    <mergeCell ref="A227:C227"/>
    <mergeCell ref="A177:C177"/>
    <mergeCell ref="A179:C179"/>
    <mergeCell ref="A212:C212"/>
    <mergeCell ref="A211:C211"/>
    <mergeCell ref="A214:C214"/>
    <mergeCell ref="A199:C199"/>
    <mergeCell ref="A206:C206"/>
    <mergeCell ref="A215:C215"/>
    <mergeCell ref="A216:C216"/>
    <mergeCell ref="A208:C208"/>
    <mergeCell ref="A209:C209"/>
    <mergeCell ref="A205:C205"/>
    <mergeCell ref="A207:C207"/>
    <mergeCell ref="A399:C399"/>
    <mergeCell ref="A397:C397"/>
    <mergeCell ref="A311:C311"/>
    <mergeCell ref="A312:C312"/>
    <mergeCell ref="A187:C187"/>
    <mergeCell ref="A188:C188"/>
    <mergeCell ref="A189:C189"/>
    <mergeCell ref="A315:C315"/>
    <mergeCell ref="A402:C402"/>
    <mergeCell ref="A403:C403"/>
    <mergeCell ref="A359:C359"/>
    <mergeCell ref="A303:C303"/>
    <mergeCell ref="D4:F4"/>
    <mergeCell ref="A302:C302"/>
    <mergeCell ref="A116:C116"/>
    <mergeCell ref="A295:C295"/>
    <mergeCell ref="A392:C392"/>
    <mergeCell ref="A393:C393"/>
    <mergeCell ref="A21:C21"/>
    <mergeCell ref="A23:C23"/>
    <mergeCell ref="A49:C49"/>
    <mergeCell ref="A50:C50"/>
    <mergeCell ref="A51:C51"/>
    <mergeCell ref="A87:C87"/>
    <mergeCell ref="A88:C88"/>
    <mergeCell ref="A89:C89"/>
    <mergeCell ref="A92:C92"/>
    <mergeCell ref="A93:C93"/>
    <mergeCell ref="A94:C94"/>
    <mergeCell ref="A157:C157"/>
    <mergeCell ref="A110:C110"/>
    <mergeCell ref="A111:C111"/>
    <mergeCell ref="A292:C292"/>
    <mergeCell ref="A198:C198"/>
    <mergeCell ref="A200:C200"/>
    <mergeCell ref="A201:C201"/>
    <mergeCell ref="A202:C202"/>
    <mergeCell ref="A203:C203"/>
    <mergeCell ref="A204:C204"/>
    <mergeCell ref="A210:C210"/>
    <mergeCell ref="A247:C247"/>
    <mergeCell ref="A238:C238"/>
    <mergeCell ref="A259:C259"/>
    <mergeCell ref="A244:C244"/>
    <mergeCell ref="A235:C235"/>
    <mergeCell ref="A239:C239"/>
    <mergeCell ref="A240:C240"/>
    <mergeCell ref="A275:C275"/>
    <mergeCell ref="A228:C228"/>
    <mergeCell ref="A229:C229"/>
    <mergeCell ref="A234:C234"/>
    <mergeCell ref="A236:C236"/>
    <mergeCell ref="A237:C237"/>
    <mergeCell ref="A213:C213"/>
    <mergeCell ref="A231:C231"/>
    <mergeCell ref="A232:C232"/>
    <mergeCell ref="A242:C242"/>
    <mergeCell ref="A241:C241"/>
    <mergeCell ref="A217:C217"/>
    <mergeCell ref="A218:C218"/>
    <mergeCell ref="A219:C219"/>
    <mergeCell ref="A290:C290"/>
    <mergeCell ref="A291:C291"/>
    <mergeCell ref="A223:C223"/>
    <mergeCell ref="A224:C224"/>
    <mergeCell ref="A225:C225"/>
    <mergeCell ref="A256:C256"/>
    <mergeCell ref="A233:C233"/>
    <mergeCell ref="A249:C249"/>
    <mergeCell ref="A250:C250"/>
    <mergeCell ref="A268:C268"/>
    <mergeCell ref="A255:C255"/>
    <mergeCell ref="A261:C261"/>
    <mergeCell ref="A251:C251"/>
    <mergeCell ref="A270:C270"/>
    <mergeCell ref="A252:C252"/>
    <mergeCell ref="A258:C258"/>
    <mergeCell ref="A245:C245"/>
    <mergeCell ref="A246:C246"/>
    <mergeCell ref="A263:C263"/>
    <mergeCell ref="A61:C61"/>
    <mergeCell ref="A62:C62"/>
    <mergeCell ref="A63:C63"/>
    <mergeCell ref="A66:C66"/>
    <mergeCell ref="A67:C67"/>
    <mergeCell ref="A68:C68"/>
    <mergeCell ref="A69:C69"/>
    <mergeCell ref="A1:G1"/>
    <mergeCell ref="A230:C230"/>
    <mergeCell ref="A103:C103"/>
    <mergeCell ref="A104:C104"/>
    <mergeCell ref="A184:C184"/>
    <mergeCell ref="A197:C197"/>
    <mergeCell ref="A135:C135"/>
    <mergeCell ref="A134:C134"/>
    <mergeCell ref="A173:C173"/>
    <mergeCell ref="A153:C153"/>
    <mergeCell ref="A154:C154"/>
    <mergeCell ref="A168:C168"/>
    <mergeCell ref="A152:C152"/>
    <mergeCell ref="A155:C155"/>
    <mergeCell ref="A143:C143"/>
    <mergeCell ref="A181:C181"/>
    <mergeCell ref="A170:C170"/>
  </mergeCells>
  <pageMargins left="0.70866141732283461" right="0.7086614173228346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Prihodi i rashodi po izvorima</vt:lpstr>
      <vt:lpstr>Rashodi prema funkcijskoj kl</vt:lpstr>
      <vt:lpstr>POSEBNI 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2025-07-17T10:22:22Z</cp:lastPrinted>
  <dcterms:created xsi:type="dcterms:W3CDTF">2022-08-12T12:51:27Z</dcterms:created>
  <dcterms:modified xsi:type="dcterms:W3CDTF">2025-07-17T10:37:36Z</dcterms:modified>
</cp:coreProperties>
</file>