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SAŽETAK" sheetId="13" r:id="rId1"/>
    <sheet name=" Račun prihoda i rashoda" sheetId="3" r:id="rId2"/>
    <sheet name="Prihodi i rashodi po izvorima" sheetId="12" r:id="rId3"/>
    <sheet name="Rashodi prema funkcijskoj kl" sheetId="5" r:id="rId4"/>
    <sheet name="POSEBNI DIO" sheetId="7" r:id="rId5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E18" i="12" l="1"/>
  <c r="E17" i="12"/>
  <c r="E16" i="12"/>
  <c r="E14" i="12"/>
  <c r="E13" i="12"/>
  <c r="E12" i="12"/>
  <c r="F23" i="3"/>
  <c r="F46" i="3"/>
  <c r="F47" i="3" s="1"/>
  <c r="F38" i="3"/>
  <c r="F13" i="3"/>
  <c r="G37" i="3"/>
  <c r="F37" i="3"/>
  <c r="F17" i="3"/>
  <c r="F42" i="3"/>
  <c r="F34" i="3"/>
  <c r="F52" i="3"/>
  <c r="E66" i="3"/>
  <c r="E63" i="3"/>
  <c r="E62" i="3"/>
  <c r="F62" i="3"/>
  <c r="E26" i="12"/>
  <c r="E33" i="12"/>
  <c r="E35" i="12"/>
  <c r="E37" i="12"/>
  <c r="E30" i="12"/>
  <c r="E29" i="12"/>
  <c r="E28" i="12"/>
  <c r="E27" i="12"/>
  <c r="E36" i="12"/>
  <c r="E34" i="12"/>
  <c r="E257" i="7"/>
  <c r="E116" i="7"/>
  <c r="E146" i="7"/>
  <c r="E145" i="7"/>
  <c r="E176" i="7"/>
  <c r="F97" i="3"/>
  <c r="F90" i="3"/>
  <c r="F132" i="3"/>
  <c r="F139" i="3"/>
  <c r="F128" i="3"/>
  <c r="F136" i="3"/>
  <c r="F148" i="3"/>
  <c r="E388" i="7"/>
  <c r="E381" i="7"/>
  <c r="E310" i="7"/>
  <c r="E297" i="7"/>
  <c r="E281" i="7"/>
  <c r="G248" i="7"/>
  <c r="G249" i="7"/>
  <c r="E196" i="7"/>
  <c r="E211" i="7"/>
  <c r="E147" i="7"/>
  <c r="E97" i="7"/>
  <c r="E96" i="7"/>
  <c r="E91" i="7"/>
  <c r="E86" i="7"/>
  <c r="E55" i="7"/>
  <c r="E48" i="7"/>
  <c r="E41" i="7"/>
  <c r="E13" i="7"/>
  <c r="G81" i="3" l="1"/>
  <c r="G80" i="3"/>
  <c r="G79" i="3"/>
  <c r="G78" i="3"/>
  <c r="G77" i="3"/>
  <c r="G76" i="3"/>
  <c r="F26" i="12"/>
  <c r="F33" i="12"/>
  <c r="F35" i="12"/>
  <c r="F37" i="12"/>
  <c r="F30" i="12"/>
  <c r="F29" i="12"/>
  <c r="F28" i="12"/>
  <c r="F27" i="12"/>
  <c r="F38" i="12"/>
  <c r="F36" i="12"/>
  <c r="F34" i="12"/>
  <c r="F32" i="12"/>
  <c r="F223" i="7" l="1"/>
  <c r="F220" i="7"/>
  <c r="F142" i="7"/>
  <c r="F136" i="7"/>
  <c r="F130" i="7"/>
  <c r="F257" i="7" l="1"/>
  <c r="F261" i="7"/>
  <c r="F244" i="7"/>
  <c r="F249" i="7"/>
  <c r="F248" i="7" s="1"/>
  <c r="F133" i="7"/>
  <c r="F135" i="7"/>
  <c r="F134" i="7"/>
  <c r="F132" i="7"/>
  <c r="F229" i="7"/>
  <c r="F226" i="7"/>
  <c r="F224" i="7"/>
  <c r="F193" i="7"/>
  <c r="F192" i="7" s="1"/>
  <c r="F191" i="7"/>
  <c r="F190" i="7"/>
  <c r="E187" i="7"/>
  <c r="E186" i="7"/>
  <c r="F270" i="7"/>
  <c r="E277" i="7"/>
  <c r="F278" i="7"/>
  <c r="F277" i="7" s="1"/>
  <c r="G277" i="7" s="1"/>
  <c r="F184" i="7"/>
  <c r="F181" i="7"/>
  <c r="F178" i="7"/>
  <c r="F177" i="7" s="1"/>
  <c r="F189" i="7" l="1"/>
  <c r="F188" i="7"/>
  <c r="F187" i="7" s="1"/>
  <c r="F186" i="7" s="1"/>
  <c r="G278" i="7"/>
  <c r="F176" i="7"/>
  <c r="G176" i="7" s="1"/>
  <c r="G177" i="7"/>
  <c r="F282" i="7"/>
  <c r="F208" i="7"/>
  <c r="F202" i="7"/>
  <c r="F155" i="7"/>
  <c r="F120" i="7"/>
  <c r="F119" i="7"/>
  <c r="F58" i="7"/>
  <c r="F310" i="7"/>
  <c r="F370" i="7"/>
  <c r="F369" i="7" s="1"/>
  <c r="F357" i="7"/>
  <c r="F352" i="7"/>
  <c r="F350" i="7"/>
  <c r="F341" i="7"/>
  <c r="F339" i="7"/>
  <c r="F337" i="7"/>
  <c r="F365" i="7"/>
  <c r="F389" i="7"/>
  <c r="F13" i="12" l="1"/>
  <c r="F18" i="12"/>
  <c r="F17" i="12"/>
  <c r="F16" i="12"/>
  <c r="F15" i="12"/>
  <c r="F14" i="12"/>
  <c r="F12" i="12"/>
  <c r="E88" i="3"/>
  <c r="G148" i="3"/>
  <c r="F151" i="3"/>
  <c r="G151" i="3"/>
  <c r="F149" i="3"/>
  <c r="G149" i="3"/>
  <c r="E151" i="3"/>
  <c r="H151" i="3" s="1"/>
  <c r="E149" i="3"/>
  <c r="H152" i="3"/>
  <c r="E140" i="3"/>
  <c r="F140" i="3"/>
  <c r="G140" i="3"/>
  <c r="I25" i="3"/>
  <c r="I26" i="3"/>
  <c r="H25" i="3"/>
  <c r="H26" i="3"/>
  <c r="E23" i="3"/>
  <c r="G24" i="3"/>
  <c r="H24" i="3" s="1"/>
  <c r="E24" i="3"/>
  <c r="E148" i="3" l="1"/>
  <c r="I24" i="3"/>
  <c r="E150" i="3"/>
  <c r="E147" i="3"/>
  <c r="E145" i="3"/>
  <c r="E142" i="3"/>
  <c r="E141" i="3"/>
  <c r="E137" i="3"/>
  <c r="E135" i="3"/>
  <c r="E134" i="3"/>
  <c r="E130" i="3"/>
  <c r="E131" i="3"/>
  <c r="E104" i="3"/>
  <c r="E127" i="3"/>
  <c r="E124" i="3"/>
  <c r="E108" i="3"/>
  <c r="E99" i="3"/>
  <c r="E118" i="3"/>
  <c r="E111" i="3"/>
  <c r="E126" i="3"/>
  <c r="E122" i="3"/>
  <c r="E116" i="3"/>
  <c r="E105" i="3"/>
  <c r="E100" i="3"/>
  <c r="E114" i="3"/>
  <c r="E115" i="3"/>
  <c r="E112" i="3"/>
  <c r="E109" i="3"/>
  <c r="E101" i="3"/>
  <c r="E123" i="3"/>
  <c r="E120" i="3"/>
  <c r="E125" i="3"/>
  <c r="E117" i="3"/>
  <c r="E113" i="3"/>
  <c r="E107" i="3"/>
  <c r="E106" i="3"/>
  <c r="E102" i="3"/>
  <c r="E96" i="3"/>
  <c r="E94" i="3"/>
  <c r="E92" i="3"/>
  <c r="F51" i="3" l="1"/>
  <c r="F203" i="7" l="1"/>
  <c r="F288" i="7"/>
  <c r="F344" i="7"/>
  <c r="F343" i="7" s="1"/>
  <c r="F394" i="7"/>
  <c r="F392" i="7"/>
  <c r="F228" i="7"/>
  <c r="F222" i="7"/>
  <c r="F219" i="7" s="1"/>
  <c r="F89" i="7"/>
  <c r="E89" i="7"/>
  <c r="F139" i="7"/>
  <c r="I62" i="3"/>
  <c r="I63" i="3"/>
  <c r="I64" i="3"/>
  <c r="I65" i="3"/>
  <c r="I66" i="3"/>
  <c r="I67" i="3"/>
  <c r="I68" i="3"/>
  <c r="H62" i="3"/>
  <c r="H63" i="3"/>
  <c r="H64" i="3"/>
  <c r="H65" i="3"/>
  <c r="H66" i="3"/>
  <c r="H67" i="3"/>
  <c r="H68" i="3"/>
  <c r="I76" i="3"/>
  <c r="I77" i="3"/>
  <c r="I78" i="3"/>
  <c r="I79" i="3"/>
  <c r="I80" i="3"/>
  <c r="I81" i="3"/>
  <c r="H76" i="3"/>
  <c r="H77" i="3"/>
  <c r="H78" i="3"/>
  <c r="H79" i="3"/>
  <c r="H80" i="3"/>
  <c r="H81" i="3"/>
  <c r="F25" i="12" l="1"/>
  <c r="H126" i="3"/>
  <c r="H122" i="3"/>
  <c r="G121" i="3"/>
  <c r="E121" i="3"/>
  <c r="H115" i="3"/>
  <c r="I136" i="3"/>
  <c r="I137" i="3"/>
  <c r="H92" i="3"/>
  <c r="H94" i="3"/>
  <c r="H96" i="3"/>
  <c r="H99" i="3"/>
  <c r="H100" i="3"/>
  <c r="H101" i="3"/>
  <c r="H102" i="3"/>
  <c r="H104" i="3"/>
  <c r="H105" i="3"/>
  <c r="H106" i="3"/>
  <c r="H107" i="3"/>
  <c r="H108" i="3"/>
  <c r="H109" i="3"/>
  <c r="H111" i="3"/>
  <c r="H112" i="3"/>
  <c r="H113" i="3"/>
  <c r="H114" i="3"/>
  <c r="H116" i="3"/>
  <c r="H117" i="3"/>
  <c r="H118" i="3"/>
  <c r="H120" i="3"/>
  <c r="H123" i="3"/>
  <c r="H124" i="3"/>
  <c r="H125" i="3"/>
  <c r="H127" i="3"/>
  <c r="H130" i="3"/>
  <c r="H131" i="3"/>
  <c r="H134" i="3"/>
  <c r="H135" i="3"/>
  <c r="H137" i="3"/>
  <c r="H141" i="3"/>
  <c r="H142" i="3"/>
  <c r="H145" i="3"/>
  <c r="H147" i="3"/>
  <c r="H150" i="3"/>
  <c r="F146" i="3"/>
  <c r="G146" i="3"/>
  <c r="G136" i="3"/>
  <c r="E136" i="3"/>
  <c r="G133" i="3"/>
  <c r="G129" i="3"/>
  <c r="G128" i="3" s="1"/>
  <c r="G119" i="3"/>
  <c r="G110" i="3"/>
  <c r="G103" i="3"/>
  <c r="G98" i="3"/>
  <c r="E110" i="3"/>
  <c r="E103" i="3"/>
  <c r="E98" i="3"/>
  <c r="G95" i="3"/>
  <c r="G93" i="3"/>
  <c r="G91" i="3"/>
  <c r="I16" i="3"/>
  <c r="I20" i="3"/>
  <c r="I22" i="3"/>
  <c r="I32" i="3"/>
  <c r="I40" i="3"/>
  <c r="I45" i="3"/>
  <c r="I50" i="3"/>
  <c r="I54" i="3"/>
  <c r="H16" i="3"/>
  <c r="H20" i="3"/>
  <c r="H22" i="3"/>
  <c r="H32" i="3"/>
  <c r="H40" i="3"/>
  <c r="H45" i="3"/>
  <c r="H50" i="3"/>
  <c r="H54" i="3"/>
  <c r="I49" i="3"/>
  <c r="I19" i="3"/>
  <c r="H36" i="3"/>
  <c r="I28" i="3"/>
  <c r="G51" i="3"/>
  <c r="G53" i="3"/>
  <c r="H53" i="3" s="1"/>
  <c r="I41" i="3"/>
  <c r="H44" i="3"/>
  <c r="I128" i="3" l="1"/>
  <c r="H136" i="3"/>
  <c r="H140" i="3"/>
  <c r="H110" i="3"/>
  <c r="H98" i="3"/>
  <c r="I148" i="3"/>
  <c r="G132" i="3"/>
  <c r="G139" i="3"/>
  <c r="H121" i="3"/>
  <c r="H103" i="3"/>
  <c r="G90" i="3"/>
  <c r="F138" i="3"/>
  <c r="H14" i="13" s="1"/>
  <c r="G97" i="3"/>
  <c r="F89" i="3"/>
  <c r="H49" i="3"/>
  <c r="I44" i="3"/>
  <c r="I53" i="3"/>
  <c r="G52" i="3"/>
  <c r="I52" i="3" s="1"/>
  <c r="H28" i="3"/>
  <c r="H41" i="3"/>
  <c r="H19" i="3"/>
  <c r="I36" i="3"/>
  <c r="F88" i="3" l="1"/>
  <c r="H13" i="13"/>
  <c r="H12" i="13" s="1"/>
  <c r="I132" i="3"/>
  <c r="I139" i="3"/>
  <c r="G138" i="3"/>
  <c r="I14" i="13" s="1"/>
  <c r="I97" i="3"/>
  <c r="G89" i="3"/>
  <c r="I90" i="3"/>
  <c r="H52" i="3"/>
  <c r="F12" i="5"/>
  <c r="F13" i="5"/>
  <c r="E12" i="5"/>
  <c r="E13" i="5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H12" i="12"/>
  <c r="H13" i="12"/>
  <c r="H14" i="12"/>
  <c r="H15" i="12"/>
  <c r="H16" i="12"/>
  <c r="H17" i="12"/>
  <c r="H18" i="12"/>
  <c r="G12" i="12"/>
  <c r="G13" i="12"/>
  <c r="G14" i="12"/>
  <c r="G15" i="12"/>
  <c r="G16" i="12"/>
  <c r="G17" i="12"/>
  <c r="G18" i="12"/>
  <c r="H22" i="13"/>
  <c r="I22" i="13"/>
  <c r="G22" i="13"/>
  <c r="G12" i="13"/>
  <c r="G9" i="13"/>
  <c r="G15" i="13" l="1"/>
  <c r="G24" i="13" s="1"/>
  <c r="G88" i="3"/>
  <c r="I13" i="13"/>
  <c r="I12" i="13" s="1"/>
  <c r="J12" i="13" s="1"/>
  <c r="I138" i="3"/>
  <c r="I89" i="3"/>
  <c r="B11" i="5"/>
  <c r="D25" i="12"/>
  <c r="E146" i="3"/>
  <c r="E133" i="3"/>
  <c r="E129" i="3"/>
  <c r="E119" i="3"/>
  <c r="E95" i="3"/>
  <c r="H95" i="3" s="1"/>
  <c r="E93" i="3"/>
  <c r="H93" i="3" s="1"/>
  <c r="E91" i="3"/>
  <c r="E61" i="3"/>
  <c r="E51" i="3"/>
  <c r="H51" i="3" s="1"/>
  <c r="E48" i="3"/>
  <c r="E47" i="3" s="1"/>
  <c r="E46" i="3" s="1"/>
  <c r="E43" i="3"/>
  <c r="E42" i="3" s="1"/>
  <c r="E39" i="3"/>
  <c r="E38" i="3" s="1"/>
  <c r="E35" i="3"/>
  <c r="E34" i="3" s="1"/>
  <c r="E33" i="3" s="1"/>
  <c r="E31" i="3"/>
  <c r="E30" i="3" s="1"/>
  <c r="E29" i="3" s="1"/>
  <c r="E27" i="3"/>
  <c r="E21" i="3"/>
  <c r="E18" i="3"/>
  <c r="E15" i="3"/>
  <c r="E14" i="3" s="1"/>
  <c r="I88" i="3" l="1"/>
  <c r="K12" i="13"/>
  <c r="H148" i="3"/>
  <c r="H149" i="3"/>
  <c r="H146" i="3"/>
  <c r="E139" i="3"/>
  <c r="E132" i="3"/>
  <c r="H132" i="3" s="1"/>
  <c r="H133" i="3"/>
  <c r="E128" i="3"/>
  <c r="H128" i="3" s="1"/>
  <c r="H129" i="3"/>
  <c r="H119" i="3"/>
  <c r="E97" i="3"/>
  <c r="H97" i="3" s="1"/>
  <c r="E90" i="3"/>
  <c r="H91" i="3"/>
  <c r="E17" i="3"/>
  <c r="E13" i="3" s="1"/>
  <c r="B10" i="5"/>
  <c r="D11" i="12"/>
  <c r="E75" i="3"/>
  <c r="E37" i="3"/>
  <c r="E138" i="3" l="1"/>
  <c r="H138" i="3" s="1"/>
  <c r="H139" i="3"/>
  <c r="E89" i="3"/>
  <c r="H90" i="3"/>
  <c r="E12" i="3"/>
  <c r="E11" i="12"/>
  <c r="H89" i="3" l="1"/>
  <c r="H88" i="3"/>
  <c r="G25" i="12"/>
  <c r="E25" i="12"/>
  <c r="F11" i="12"/>
  <c r="G11" i="12" s="1"/>
  <c r="H25" i="12" l="1"/>
  <c r="H11" i="12"/>
  <c r="E244" i="7" l="1"/>
  <c r="I51" i="3"/>
  <c r="G15" i="3"/>
  <c r="G48" i="3"/>
  <c r="F281" i="7"/>
  <c r="E127" i="7"/>
  <c r="G61" i="3"/>
  <c r="F61" i="3"/>
  <c r="I61" i="3" l="1"/>
  <c r="H61" i="3"/>
  <c r="H48" i="3"/>
  <c r="I48" i="3"/>
  <c r="G14" i="3"/>
  <c r="H15" i="3"/>
  <c r="I15" i="3"/>
  <c r="F75" i="3"/>
  <c r="G75" i="3"/>
  <c r="F104" i="7"/>
  <c r="E75" i="7"/>
  <c r="E296" i="7"/>
  <c r="I75" i="3" l="1"/>
  <c r="H75" i="3"/>
  <c r="I14" i="3"/>
  <c r="H14" i="3"/>
  <c r="F317" i="7"/>
  <c r="F320" i="7"/>
  <c r="G320" i="7" s="1"/>
  <c r="E315" i="7"/>
  <c r="F292" i="7"/>
  <c r="F287" i="7" s="1"/>
  <c r="F242" i="7"/>
  <c r="F241" i="7" s="1"/>
  <c r="E242" i="7"/>
  <c r="F255" i="7"/>
  <c r="E254" i="7"/>
  <c r="F171" i="7"/>
  <c r="F254" i="7" l="1"/>
  <c r="G255" i="7"/>
  <c r="F225" i="7"/>
  <c r="F173" i="7"/>
  <c r="F170" i="7" s="1"/>
  <c r="F48" i="7"/>
  <c r="F384" i="7"/>
  <c r="F252" i="7"/>
  <c r="F167" i="7"/>
  <c r="F164" i="7"/>
  <c r="F246" i="7"/>
  <c r="F215" i="7"/>
  <c r="F77" i="7"/>
  <c r="F79" i="7"/>
  <c r="E79" i="7"/>
  <c r="F82" i="7"/>
  <c r="F81" i="7" s="1"/>
  <c r="G81" i="7" s="1"/>
  <c r="E82" i="7"/>
  <c r="E74" i="7"/>
  <c r="E77" i="7"/>
  <c r="F237" i="7"/>
  <c r="F76" i="7" l="1"/>
  <c r="G76" i="7" s="1"/>
  <c r="F273" i="7"/>
  <c r="F18" i="7"/>
  <c r="F265" i="7"/>
  <c r="F199" i="7"/>
  <c r="F234" i="7"/>
  <c r="F75" i="7" l="1"/>
  <c r="F74" i="7" s="1"/>
  <c r="G74" i="7" s="1"/>
  <c r="F367" i="7"/>
  <c r="G310" i="7"/>
  <c r="G292" i="7"/>
  <c r="G283" i="7"/>
  <c r="F269" i="7"/>
  <c r="F260" i="7"/>
  <c r="F258" i="7"/>
  <c r="F251" i="7"/>
  <c r="E251" i="7"/>
  <c r="E248" i="7"/>
  <c r="F245" i="7"/>
  <c r="G282" i="7"/>
  <c r="G252" i="7"/>
  <c r="F232" i="7"/>
  <c r="F231" i="7" s="1"/>
  <c r="F212" i="7"/>
  <c r="F211" i="7" s="1"/>
  <c r="F207" i="7"/>
  <c r="F197" i="7"/>
  <c r="F150" i="7"/>
  <c r="F148" i="7"/>
  <c r="F137" i="7"/>
  <c r="F131" i="7"/>
  <c r="F129" i="7"/>
  <c r="G215" i="7"/>
  <c r="G219" i="7"/>
  <c r="G188" i="7"/>
  <c r="G170" i="7"/>
  <c r="G167" i="7"/>
  <c r="G126" i="7"/>
  <c r="G115" i="7"/>
  <c r="G66" i="7"/>
  <c r="F111" i="7"/>
  <c r="F109" i="7"/>
  <c r="F107" i="7"/>
  <c r="F102" i="7"/>
  <c r="F100" i="7"/>
  <c r="F98" i="7"/>
  <c r="F72" i="7"/>
  <c r="F70" i="7"/>
  <c r="F92" i="7"/>
  <c r="F91" i="7" s="1"/>
  <c r="G91" i="7" s="1"/>
  <c r="F87" i="7"/>
  <c r="F268" i="7" l="1"/>
  <c r="F96" i="7"/>
  <c r="F86" i="7"/>
  <c r="G86" i="7" s="1"/>
  <c r="G251" i="7"/>
  <c r="F280" i="7"/>
  <c r="F69" i="7"/>
  <c r="G369" i="7"/>
  <c r="F272" i="7"/>
  <c r="F264" i="7"/>
  <c r="F196" i="7"/>
  <c r="F195" i="7" s="1"/>
  <c r="F194" i="7" s="1"/>
  <c r="F147" i="7"/>
  <c r="F97" i="7"/>
  <c r="F106" i="7"/>
  <c r="F128" i="7"/>
  <c r="F127" i="7" s="1"/>
  <c r="F85" i="7"/>
  <c r="F84" i="7" s="1"/>
  <c r="F33" i="7"/>
  <c r="F24" i="7"/>
  <c r="F14" i="7"/>
  <c r="F42" i="7"/>
  <c r="F41" i="7" s="1"/>
  <c r="G41" i="7" s="1"/>
  <c r="F56" i="7"/>
  <c r="F305" i="7"/>
  <c r="F304" i="7" s="1"/>
  <c r="G304" i="7" s="1"/>
  <c r="F302" i="7"/>
  <c r="F300" i="7"/>
  <c r="F298" i="7"/>
  <c r="F386" i="7"/>
  <c r="F382" i="7"/>
  <c r="F331" i="7"/>
  <c r="F330" i="7" s="1"/>
  <c r="F326" i="7"/>
  <c r="F325" i="7" s="1"/>
  <c r="F316" i="7"/>
  <c r="F315" i="7" s="1"/>
  <c r="F363" i="7"/>
  <c r="F356" i="7"/>
  <c r="F354" i="7"/>
  <c r="F349" i="7" s="1"/>
  <c r="G343" i="7"/>
  <c r="F362" i="7" l="1"/>
  <c r="F361" i="7" s="1"/>
  <c r="F360" i="7" s="1"/>
  <c r="F55" i="7"/>
  <c r="G55" i="7" s="1"/>
  <c r="G356" i="7"/>
  <c r="F336" i="7"/>
  <c r="F335" i="7" s="1"/>
  <c r="F334" i="7" s="1"/>
  <c r="F388" i="7"/>
  <c r="G388" i="7" s="1"/>
  <c r="F381" i="7"/>
  <c r="F146" i="7"/>
  <c r="F145" i="7" s="1"/>
  <c r="G362" i="7"/>
  <c r="F348" i="7"/>
  <c r="F347" i="7" s="1"/>
  <c r="F314" i="7"/>
  <c r="G316" i="7"/>
  <c r="F95" i="7"/>
  <c r="F94" i="7" s="1"/>
  <c r="F13" i="7"/>
  <c r="F297" i="7"/>
  <c r="G336" i="7" l="1"/>
  <c r="F380" i="7"/>
  <c r="F378" i="7" s="1"/>
  <c r="G349" i="7"/>
  <c r="F333" i="7"/>
  <c r="F296" i="7"/>
  <c r="F295" i="7" s="1"/>
  <c r="F12" i="7"/>
  <c r="F10" i="7" s="1"/>
  <c r="F379" i="7" l="1"/>
  <c r="D11" i="5" l="1"/>
  <c r="E11" i="5" s="1"/>
  <c r="G43" i="3"/>
  <c r="G39" i="3"/>
  <c r="G47" i="3"/>
  <c r="G27" i="3"/>
  <c r="G23" i="3" s="1"/>
  <c r="G18" i="3"/>
  <c r="G21" i="3"/>
  <c r="G35" i="3"/>
  <c r="G31" i="3"/>
  <c r="G38" i="3" l="1"/>
  <c r="H39" i="3"/>
  <c r="I39" i="3"/>
  <c r="G34" i="3"/>
  <c r="I35" i="3"/>
  <c r="H35" i="3"/>
  <c r="H21" i="3"/>
  <c r="I21" i="3"/>
  <c r="G42" i="3"/>
  <c r="H43" i="3"/>
  <c r="I43" i="3"/>
  <c r="H18" i="3"/>
  <c r="I18" i="3"/>
  <c r="H27" i="3"/>
  <c r="I27" i="3"/>
  <c r="G30" i="3"/>
  <c r="H31" i="3"/>
  <c r="I31" i="3"/>
  <c r="G46" i="3"/>
  <c r="I47" i="3"/>
  <c r="H47" i="3"/>
  <c r="G17" i="3"/>
  <c r="H37" i="3" l="1"/>
  <c r="H30" i="3"/>
  <c r="I30" i="3"/>
  <c r="I34" i="3"/>
  <c r="H34" i="3"/>
  <c r="H42" i="3"/>
  <c r="I42" i="3"/>
  <c r="G33" i="3"/>
  <c r="H46" i="3"/>
  <c r="H23" i="3"/>
  <c r="I23" i="3"/>
  <c r="G13" i="3"/>
  <c r="H17" i="3"/>
  <c r="I17" i="3"/>
  <c r="H38" i="3"/>
  <c r="I38" i="3"/>
  <c r="G186" i="7"/>
  <c r="F218" i="7"/>
  <c r="E218" i="7"/>
  <c r="G241" i="7"/>
  <c r="G211" i="7"/>
  <c r="G196" i="7"/>
  <c r="G231" i="7"/>
  <c r="G147" i="7"/>
  <c r="G119" i="7"/>
  <c r="G69" i="7"/>
  <c r="G63" i="7"/>
  <c r="G48" i="7"/>
  <c r="G13" i="7"/>
  <c r="G297" i="7"/>
  <c r="E314" i="7"/>
  <c r="G330" i="7"/>
  <c r="G376" i="7"/>
  <c r="G381" i="7"/>
  <c r="H33" i="3" l="1"/>
  <c r="I13" i="3"/>
  <c r="H13" i="3"/>
  <c r="G314" i="7"/>
  <c r="E264" i="7"/>
  <c r="G264" i="7" s="1"/>
  <c r="G265" i="7"/>
  <c r="E260" i="7"/>
  <c r="G260" i="7" s="1"/>
  <c r="G261" i="7"/>
  <c r="E268" i="7"/>
  <c r="G268" i="7" s="1"/>
  <c r="G269" i="7"/>
  <c r="E287" i="7"/>
  <c r="G288" i="7"/>
  <c r="G273" i="7"/>
  <c r="E272" i="7"/>
  <c r="G272" i="7" s="1"/>
  <c r="G259" i="7"/>
  <c r="E258" i="7"/>
  <c r="G258" i="7" s="1"/>
  <c r="E245" i="7"/>
  <c r="G245" i="7" s="1"/>
  <c r="G246" i="7"/>
  <c r="G127" i="7"/>
  <c r="G128" i="7"/>
  <c r="E195" i="7"/>
  <c r="F33" i="3"/>
  <c r="I33" i="3" s="1"/>
  <c r="D10" i="5"/>
  <c r="E10" i="5" s="1"/>
  <c r="C11" i="5"/>
  <c r="F11" i="5" s="1"/>
  <c r="C10" i="5" l="1"/>
  <c r="F10" i="5" s="1"/>
  <c r="F329" i="7"/>
  <c r="F328" i="7" s="1"/>
  <c r="F324" i="7"/>
  <c r="F323" i="7" s="1"/>
  <c r="F309" i="7"/>
  <c r="F308" i="7" s="1"/>
  <c r="F286" i="7"/>
  <c r="F217" i="7"/>
  <c r="F116" i="7" s="1"/>
  <c r="F118" i="7"/>
  <c r="F117" i="7" s="1"/>
  <c r="F240" i="7"/>
  <c r="F230" i="7"/>
  <c r="F169" i="7"/>
  <c r="F114" i="7"/>
  <c r="F113" i="7" s="1"/>
  <c r="F68" i="7"/>
  <c r="F67" i="7" s="1"/>
  <c r="F65" i="7"/>
  <c r="F64" i="7" s="1"/>
  <c r="F62" i="7"/>
  <c r="F61" i="7" s="1"/>
  <c r="F54" i="7"/>
  <c r="F53" i="7" s="1"/>
  <c r="F47" i="7"/>
  <c r="F46" i="7" s="1"/>
  <c r="F40" i="7"/>
  <c r="F39" i="7" s="1"/>
  <c r="F11" i="7"/>
  <c r="F375" i="7"/>
  <c r="F374" i="7" s="1"/>
  <c r="F60" i="7" l="1"/>
  <c r="F373" i="7"/>
  <c r="F313" i="7"/>
  <c r="F38" i="7"/>
  <c r="F307" i="7"/>
  <c r="F285" i="7"/>
  <c r="F52" i="7"/>
  <c r="F45" i="7"/>
  <c r="E240" i="7"/>
  <c r="G240" i="7" s="1"/>
  <c r="E230" i="7"/>
  <c r="G230" i="7" s="1"/>
  <c r="E217" i="7"/>
  <c r="G217" i="7" s="1"/>
  <c r="E194" i="7"/>
  <c r="G194" i="7" s="1"/>
  <c r="E169" i="7"/>
  <c r="G169" i="7" s="1"/>
  <c r="G145" i="7"/>
  <c r="E118" i="7"/>
  <c r="E117" i="7" s="1"/>
  <c r="G117" i="7" s="1"/>
  <c r="E114" i="7"/>
  <c r="E113" i="7" s="1"/>
  <c r="G113" i="7" s="1"/>
  <c r="E65" i="7"/>
  <c r="E64" i="7" s="1"/>
  <c r="G64" i="7" s="1"/>
  <c r="E62" i="7"/>
  <c r="E61" i="7" s="1"/>
  <c r="E68" i="7"/>
  <c r="E67" i="7" s="1"/>
  <c r="G67" i="7" s="1"/>
  <c r="E85" i="7"/>
  <c r="E84" i="7" s="1"/>
  <c r="G84" i="7" s="1"/>
  <c r="E106" i="7"/>
  <c r="G106" i="7" s="1"/>
  <c r="G96" i="7"/>
  <c r="E12" i="7"/>
  <c r="E40" i="7"/>
  <c r="E38" i="7" s="1"/>
  <c r="E47" i="7"/>
  <c r="E45" i="7" s="1"/>
  <c r="E54" i="7"/>
  <c r="E52" i="7" s="1"/>
  <c r="E285" i="7"/>
  <c r="E309" i="7"/>
  <c r="E308" i="7" s="1"/>
  <c r="G308" i="7" s="1"/>
  <c r="E329" i="7"/>
  <c r="E328" i="7" s="1"/>
  <c r="G328" i="7" s="1"/>
  <c r="E380" i="7"/>
  <c r="E379" i="7" s="1"/>
  <c r="G379" i="7" s="1"/>
  <c r="G61" i="7" l="1"/>
  <c r="E324" i="7"/>
  <c r="E323" i="7" s="1"/>
  <c r="E313" i="7" s="1"/>
  <c r="G325" i="7"/>
  <c r="E280" i="7"/>
  <c r="G280" i="7" s="1"/>
  <c r="G281" i="7"/>
  <c r="F9" i="7"/>
  <c r="F294" i="7"/>
  <c r="F284" i="7" s="1"/>
  <c r="E53" i="7"/>
  <c r="G53" i="7" s="1"/>
  <c r="E95" i="7"/>
  <c r="E94" i="7" s="1"/>
  <c r="E60" i="7" s="1"/>
  <c r="E307" i="7"/>
  <c r="E294" i="7"/>
  <c r="E295" i="7"/>
  <c r="G295" i="7" s="1"/>
  <c r="E10" i="7"/>
  <c r="E11" i="7"/>
  <c r="G11" i="7" s="1"/>
  <c r="E378" i="7"/>
  <c r="E286" i="7"/>
  <c r="G286" i="7" s="1"/>
  <c r="E39" i="7"/>
  <c r="G39" i="7" s="1"/>
  <c r="E46" i="7"/>
  <c r="G46" i="7" s="1"/>
  <c r="E361" i="7"/>
  <c r="E360" i="7" s="1"/>
  <c r="G360" i="7" s="1"/>
  <c r="E348" i="7"/>
  <c r="E347" i="7" s="1"/>
  <c r="G347" i="7" s="1"/>
  <c r="F6" i="7" l="1"/>
  <c r="E9" i="7"/>
  <c r="G323" i="7"/>
  <c r="G94" i="7"/>
  <c r="I37" i="3"/>
  <c r="G29" i="3"/>
  <c r="I46" i="3"/>
  <c r="F29" i="3"/>
  <c r="G12" i="3" l="1"/>
  <c r="I10" i="13" s="1"/>
  <c r="I9" i="13" s="1"/>
  <c r="I29" i="3"/>
  <c r="H29" i="3"/>
  <c r="F12" i="3"/>
  <c r="H10" i="13" s="1"/>
  <c r="H9" i="13" s="1"/>
  <c r="E335" i="7"/>
  <c r="E334" i="7" s="1"/>
  <c r="J9" i="13" l="1"/>
  <c r="I15" i="13"/>
  <c r="I24" i="13" s="1"/>
  <c r="H15" i="13"/>
  <c r="H24" i="13" s="1"/>
  <c r="K9" i="13"/>
  <c r="I12" i="3"/>
  <c r="H12" i="3"/>
  <c r="E333" i="7"/>
  <c r="G334" i="7"/>
  <c r="E375" i="7" l="1"/>
  <c r="E374" i="7" s="1"/>
  <c r="G377" i="7"/>
  <c r="E373" i="7" l="1"/>
  <c r="E284" i="7" s="1"/>
  <c r="E6" i="7" s="1"/>
  <c r="G6" i="7" s="1"/>
  <c r="G374" i="7"/>
</calcChain>
</file>

<file path=xl/sharedStrings.xml><?xml version="1.0" encoding="utf-8"?>
<sst xmlns="http://schemas.openxmlformats.org/spreadsheetml/2006/main" count="717" uniqueCount="248">
  <si>
    <t>PRIHODI UKUPNO</t>
  </si>
  <si>
    <t>RASHODI UKUPNO</t>
  </si>
  <si>
    <t xml:space="preserve">A. RAČUN PRIHODA I RASHODA 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</si>
  <si>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</si>
  <si>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</si>
  <si>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</si>
  <si>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</si>
  <si>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</si>
  <si>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</si>
  <si>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</si>
  <si>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</si>
  <si>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</si>
  <si>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</si>
  <si>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</si>
  <si>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Materijalni rashodi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</si>
  <si>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</si>
  <si>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</si>
  <si>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</si>
  <si>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</si>
  <si>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</si>
  <si>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</si>
  <si>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</si>
  <si>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</si>
  <si>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</si>
  <si>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</si>
  <si>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</si>
  <si>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</si>
  <si>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</si>
  <si>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</si>
  <si>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</si>
  <si>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</si>
  <si>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</si>
  <si>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HZZ PRIPRAVNIK</t>
  </si>
  <si>
    <t>EU</t>
  </si>
  <si>
    <t>Aktivnost 1012-01</t>
  </si>
  <si>
    <t xml:space="preserve"> Materijalni rashodi škola</t>
  </si>
  <si>
    <t xml:space="preserve">Aktivnost 1012-02 </t>
  </si>
  <si>
    <t>Financijski rashodi škola</t>
  </si>
  <si>
    <t xml:space="preserve">Kapitalni projekt 1012-03 </t>
  </si>
  <si>
    <t>Opremanje škola</t>
  </si>
  <si>
    <t>Kapitalni projekt 1012-04</t>
  </si>
  <si>
    <t>Rashodi za dodatna ulaganja na školama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</si>
  <si>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</si>
  <si>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</si>
  <si>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</si>
  <si>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</si>
  <si>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</si>
  <si>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</si>
  <si>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</si>
  <si>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</si>
  <si>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</si>
  <si>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</si>
  <si>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</si>
  <si>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</si>
  <si>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</si>
  <si>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</si>
  <si>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</si>
  <si>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</si>
  <si>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Aktivnost 1013-16</t>
  </si>
  <si>
    <t>Potpora stručnim službama osnovnih škola - logoped</t>
  </si>
  <si>
    <t>Aktivnost 1013-18</t>
  </si>
  <si>
    <t>Centar DaR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</si>
  <si>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</si>
  <si>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</si>
  <si>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</si>
  <si>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</si>
  <si>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</si>
  <si>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</si>
  <si>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</si>
  <si>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Vlastiti prihodi - višak</t>
  </si>
  <si>
    <t>VIŠAK KORIŠTEN ZA POKRIĆE RASHODA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</si>
  <si>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</si>
  <si>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</si>
  <si>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</si>
  <si>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</si>
  <si>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</si>
  <si>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</si>
  <si>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Izvor financiranja 5402</t>
  </si>
  <si>
    <t>Financiranje nabave drugih obrazovnih materijala - radne bilježnice</t>
  </si>
  <si>
    <t>Materijalni rashodi - prijevoz</t>
  </si>
  <si>
    <t>31-COP</t>
  </si>
  <si>
    <t>31-MENTORSTVA</t>
  </si>
  <si>
    <t>32-PRIJEVOZ DJELATNIKA COP</t>
  </si>
  <si>
    <t>32-NAKNADA INVALIDI</t>
  </si>
  <si>
    <t>32-ISLAMSKI VJERONAUK</t>
  </si>
  <si>
    <t>Prihodi za posebne namjene - školska kuhinja</t>
  </si>
  <si>
    <t>Izvor financiranja 9231</t>
  </si>
  <si>
    <t>Izvor financiranja 9241</t>
  </si>
  <si>
    <t>Izvor financiranja 9257</t>
  </si>
  <si>
    <t>Rashodi za zaposlene (dar u naravi, pripravnica razlika za osnovicu)</t>
  </si>
  <si>
    <t>Rashodi za zaposlene voditelje ŠSD</t>
  </si>
  <si>
    <t>Izvor financiranja 926103</t>
  </si>
  <si>
    <t>Materijalni rashodi (najam dvorane, uz maraška, ost prih)</t>
  </si>
  <si>
    <t>Naknade građanima i kućanstvima na temelju osiguranja i druge naknade (radne bilježnice)</t>
  </si>
  <si>
    <t xml:space="preserve">Prihodi za posebne namjene </t>
  </si>
  <si>
    <t xml:space="preserve">PROGRAM 1012 </t>
  </si>
  <si>
    <t>Osnovnoškolsko obrazovanje</t>
  </si>
  <si>
    <t>PROJEKTI</t>
  </si>
  <si>
    <t>Ostale tekuće donacije u naravi</t>
  </si>
  <si>
    <t>Indeks</t>
  </si>
  <si>
    <t>4=3/2*100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</si>
  <si>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</si>
  <si>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</si>
  <si>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</si>
  <si>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</si>
  <si>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</si>
  <si>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TEKUĆI PRIJENOSI IZMEĐU PROR KORISNIKA ISTOG PRORAČUNA TEMELJEM PRIJENOSA EU SREDSTAVA</t>
  </si>
  <si>
    <t>PRIHODI OD FINANCIJSKE IMOVINE</t>
  </si>
  <si>
    <t>KAMATE NA OROČENA SREDSTVA I DEPOZITE PO VIĐENJU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</si>
  <si>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</si>
  <si>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</si>
  <si>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</si>
  <si>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</si>
  <si>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</si>
  <si>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</si>
  <si>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</si>
  <si>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</si>
  <si>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</si>
  <si>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</si>
  <si>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</si>
  <si>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</si>
  <si>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</si>
  <si>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</si>
  <si>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</si>
  <si>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</si>
  <si>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</si>
  <si>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</si>
  <si>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</si>
  <si>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</si>
  <si>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</si>
  <si>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</si>
  <si>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</si>
  <si>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</si>
  <si>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</si>
  <si>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</si>
  <si>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</si>
  <si>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</si>
  <si>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</si>
  <si>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</si>
  <si>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</si>
  <si>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</si>
  <si>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</si>
  <si>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</si>
  <si>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</si>
  <si>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</si>
  <si>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</si>
  <si>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</si>
  <si>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</si>
  <si>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</si>
  <si>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</si>
  <si>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</si>
  <si>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</si>
  <si>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</si>
  <si>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</si>
  <si>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</si>
  <si>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</si>
  <si>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</si>
  <si>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</si>
  <si>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</si>
  <si>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</si>
  <si>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</si>
  <si>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</si>
  <si>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</si>
  <si>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</si>
  <si>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>Izvor financiranja 53</t>
  </si>
  <si>
    <t>TEKUĆE DONACIJE U NARAVI</t>
  </si>
  <si>
    <t>MATERIJAL I DIJELOVI ZA TEK I INV ODRŽAVANJE</t>
  </si>
  <si>
    <t>SLUŽBENA RADNA I ZAŠTITNA ODJEĆA I OBUĆA</t>
  </si>
  <si>
    <t xml:space="preserve">Rashodi za zaposlene </t>
  </si>
  <si>
    <t>MANJAK POKRIVEN TEKUĆIM PRIHODIMA</t>
  </si>
  <si>
    <t>Pomoći Projekt prehrane</t>
  </si>
  <si>
    <t>EU Projekt prehrane</t>
  </si>
  <si>
    <t>Pomoći Shema</t>
  </si>
  <si>
    <t>EU Shema</t>
  </si>
  <si>
    <t>KNJIGE MZO lektira</t>
  </si>
  <si>
    <t>KNJIGE MZO udžbenici</t>
  </si>
  <si>
    <t>HZZ</t>
  </si>
  <si>
    <t>MAT I DIJELOVI ZA TEK I INV ODRŽAVANJE</t>
  </si>
  <si>
    <t>POMOĆI OD IZVANPRORAČUNSKIH KORISNIKA</t>
  </si>
  <si>
    <t>TEKUĆE POMOĆI OD IZVANPRORAČUNSKIH KORISNIKA</t>
  </si>
  <si>
    <t>PRIHODI IZ NADLEŽNOG PRORAČUNA ZA FINANCIRANJE RASHODA ZA NABAVU NEFINANCIJSKE IMOVINE</t>
  </si>
  <si>
    <t>PRIHODI POSLOVANJA  PREMA IZVORIMA FINANCIRANJA</t>
  </si>
  <si>
    <t>11 Opći prihodi i primici</t>
  </si>
  <si>
    <t>31 Vlastiti prihodi</t>
  </si>
  <si>
    <t>41 Prihodi za posebne namjene</t>
  </si>
  <si>
    <t>5402 EU</t>
  </si>
  <si>
    <t>57 Pomoći</t>
  </si>
  <si>
    <t>6103 Donacije</t>
  </si>
  <si>
    <t>RASHODI POSLOVANJA  PREMA IZVORIMA FINANCIRANJA</t>
  </si>
  <si>
    <t>9231 Vlastiti prihodi - višak</t>
  </si>
  <si>
    <t>9241 Prihodi za posebne namjene - višak</t>
  </si>
  <si>
    <t>92530 HZZ PRIPRAVNIK - višak</t>
  </si>
  <si>
    <t>926103 Donacije - višak</t>
  </si>
  <si>
    <t>53 HZZ</t>
  </si>
  <si>
    <t>9257 Pomoći - višak</t>
  </si>
  <si>
    <t>SAŽETAK  RAČUNA PRIHODA I RASHODA I  RAČUNA FINANCIRANJA</t>
  </si>
  <si>
    <t>SAŽETAK  RAČUNA PRIHODA I RASHODA</t>
  </si>
  <si>
    <t>INDEKS</t>
  </si>
  <si>
    <t>INDEKS**</t>
  </si>
  <si>
    <t>6 PRIHODI POSLOVANJA</t>
  </si>
  <si>
    <t>7 PRIHODI OD PRODAJE NEFINANCIJSKE IMOVINE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</si>
  <si>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</si>
  <si>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</si>
  <si>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</si>
  <si>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</si>
  <si>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</si>
  <si>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</si>
  <si>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</si>
  <si>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</si>
  <si>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</si>
  <si>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</si>
  <si>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N-1." preračunavaju se iz kuna u eure prema fiksnom tečaju konverzije (1 EUR=7,53450 kuna) i po pravilima za preračunavanje i zaokruživanje.</t>
  </si>
  <si>
    <t xml:space="preserve">Napomena : "N" označava razdoblje </t>
  </si>
  <si>
    <t xml:space="preserve">* Opći i posebni dio izvještaja o izvršenju proračuna sadrži samo izvorni plan ako od donošenja proračuna nije bilo izmjena i dopuna niti izvršenih preraspodjela odnosno izvorni plan i tekući plan ako je od donošenja proračuna bilo naknadno izvršenih preraspodjela.  
Opći i posebni dio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</si>
  <si>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izvještaja ne sadrži "TEKUĆI PLAN N.", "INDEKS"("OSTVARENJE/IZVRŠENJE N."/"TEKUĆI PLAN N.") iskazuje se kao "OSTVARENJE/IZVRŠENJE N."/"IZVORNI PLAN N." ODNOSNO "REBALANS N." </t>
  </si>
  <si>
    <t>IZVORNI PLAN 2024.</t>
  </si>
  <si>
    <t>5=4/2*100</t>
  </si>
  <si>
    <t>6=4/3*100</t>
  </si>
  <si>
    <t>IZVJEŠTAJ O PRIHODIMA I RASHODIMA PREMA IZVORIMA FINANCIRANJA</t>
  </si>
  <si>
    <t xml:space="preserve">RAČUN PRIHODA I RASHODA </t>
  </si>
  <si>
    <t>IZVJEŠTAJ O PRIHODIMA I RASHODIMA PREMA EKONOMSKOJ KLASIFIKACIJI</t>
  </si>
  <si>
    <t>UKUPNO PRIHODI</t>
  </si>
  <si>
    <t xml:space="preserve"> UKUPNO RASHODI (3+4)</t>
  </si>
  <si>
    <t>IZVJEŠTAJ PO PROGRAMSKOJ KLASIFIKACIJI</t>
  </si>
  <si>
    <t>OSTALI PRIHODI</t>
  </si>
  <si>
    <t>NAKNADE ZA RAD PREDSTAVNIČKIH I IZVRŠNIH TIJELA</t>
  </si>
  <si>
    <t>UKUPNI PRIHODI</t>
  </si>
  <si>
    <t>Pomoćnici u nastavi - Škola puna mogućnosti 7</t>
  </si>
  <si>
    <t>Prehrana učenika u osnovnim školama: Šk. Shema</t>
  </si>
  <si>
    <t>GODIŠNJI IZVJEŠTAJ O IZVRŠENJU FINANCIJSKOG PLANA ZA 2024.g.</t>
  </si>
  <si>
    <t>IZVRŠENJE 2024.</t>
  </si>
  <si>
    <t>GODIŠNJI IZVJEŠTAJ O IZVRŠENJU FINANCIJSKOG PLANA ZA 2024. GODINU</t>
  </si>
  <si>
    <t>IZVRŠENJE 
 2023.</t>
  </si>
  <si>
    <t>IZVRŠENJE 
2023.</t>
  </si>
  <si>
    <t>IZVRŠENJE  2023.</t>
  </si>
  <si>
    <t xml:space="preserve">Manjak prihoda poslovanja </t>
  </si>
  <si>
    <t xml:space="preserve">Višak prihoda poslovanja </t>
  </si>
  <si>
    <t>POM OD MEĐUNARODNIH ORGANIZACIJA TE INSTITUCIJA I TIJELA EU</t>
  </si>
  <si>
    <t>TEK POM OD MEĐUNARODNIH ORGANIZACIJA</t>
  </si>
  <si>
    <t>KAPITALNE POM OD MEĐUNARODNIH ORGANIZACIJA</t>
  </si>
  <si>
    <t>INSTRUMENTI, UREĐAJI I STROJEVI</t>
  </si>
  <si>
    <t>SPORTSKA I GLAZBENA OPREMA</t>
  </si>
  <si>
    <t>DODATNA ULAGANJA NA POSTROJENJIMA I OPREMI</t>
  </si>
  <si>
    <t>Izvanškolske aktivnosti LEGENDA O KREŠI</t>
  </si>
  <si>
    <t>Projekt SHORE</t>
  </si>
  <si>
    <t>Projekti - višak</t>
  </si>
  <si>
    <t>925402 Projekti - višak</t>
  </si>
  <si>
    <t>Izvor financiranja 925402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</si>
</sst>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10"/>
      <color theme="4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2"/>
      <color theme="4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8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9" fillId="0" borderId="0"/>
  </cellStyleXfs>
  <cellXfs count="279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4" fontId="5" fillId="9" borderId="3" xfId="0" applyNumberFormat="1" applyFont="1" applyFill="1" applyBorder="1" applyAlignment="1">
      <alignment horizontal="right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4" fontId="16" fillId="2" borderId="3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17" fillId="2" borderId="3" xfId="0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16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164" fontId="15" fillId="2" borderId="3" xfId="0" applyNumberFormat="1" applyFont="1" applyFill="1" applyBorder="1" applyAlignment="1">
      <alignment horizontal="right"/>
    </xf>
    <xf numFmtId="164" fontId="22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/>
    </xf>
    <xf numFmtId="4" fontId="23" fillId="0" borderId="3" xfId="0" applyNumberFormat="1" applyFont="1" applyFill="1" applyBorder="1" applyAlignment="1" applyProtection="1">
      <alignment horizontal="right"/>
      <protection locked="0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4" fontId="23" fillId="2" borderId="3" xfId="0" applyNumberFormat="1" applyFont="1" applyFill="1" applyBorder="1" applyAlignment="1">
      <alignment horizontal="right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27" fillId="2" borderId="0" xfId="2" applyFont="1" applyFill="1" applyAlignment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5" fillId="4" borderId="3" xfId="0" applyNumberFormat="1" applyFont="1" applyFill="1" applyBorder="1" applyAlignment="1" applyProtection="1">
      <alignment horizontal="center" vertical="center" wrapText="1"/>
    </xf>
    <xf numFmtId="0" fontId="28" fillId="4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29" fillId="4" borderId="3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31" fillId="2" borderId="3" xfId="0" quotePrefix="1" applyFont="1" applyFill="1" applyBorder="1" applyAlignment="1">
      <alignment horizontal="left" vertical="center"/>
    </xf>
    <xf numFmtId="4" fontId="31" fillId="2" borderId="3" xfId="0" applyNumberFormat="1" applyFont="1" applyFill="1" applyBorder="1" applyAlignment="1">
      <alignment horizontal="right"/>
    </xf>
    <xf numFmtId="0" fontId="32" fillId="0" borderId="0" xfId="0" applyFont="1"/>
    <xf numFmtId="0" fontId="33" fillId="2" borderId="3" xfId="0" quotePrefix="1" applyFont="1" applyFill="1" applyBorder="1" applyAlignment="1">
      <alignment horizontal="left" vertical="center"/>
    </xf>
    <xf numFmtId="4" fontId="33" fillId="2" borderId="3" xfId="0" applyNumberFormat="1" applyFont="1" applyFill="1" applyBorder="1" applyAlignment="1">
      <alignment horizontal="right"/>
    </xf>
    <xf numFmtId="0" fontId="25" fillId="0" borderId="0" xfId="0" applyFont="1"/>
    <xf numFmtId="4" fontId="6" fillId="2" borderId="3" xfId="0" applyNumberFormat="1" applyFont="1" applyFill="1" applyBorder="1" applyAlignment="1">
      <alignment horizontal="right"/>
    </xf>
    <xf numFmtId="4" fontId="33" fillId="0" borderId="3" xfId="0" applyNumberFormat="1" applyFont="1" applyFill="1" applyBorder="1" applyAlignment="1">
      <alignment horizontal="right"/>
    </xf>
    <xf numFmtId="0" fontId="33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wrapText="1"/>
    </xf>
    <xf numFmtId="0" fontId="34" fillId="2" borderId="3" xfId="0" quotePrefix="1" applyFont="1" applyFill="1" applyBorder="1" applyAlignment="1">
      <alignment horizontal="left" vertical="center"/>
    </xf>
    <xf numFmtId="0" fontId="34" fillId="2" borderId="3" xfId="0" quotePrefix="1" applyFont="1" applyFill="1" applyBorder="1" applyAlignment="1">
      <alignment horizontal="left" vertical="center" shrinkToFit="1"/>
    </xf>
    <xf numFmtId="4" fontId="22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4" fontId="3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" fontId="35" fillId="0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>
      <alignment horizontal="right"/>
    </xf>
    <xf numFmtId="0" fontId="36" fillId="0" borderId="0" xfId="0" applyFont="1"/>
    <xf numFmtId="4" fontId="37" fillId="2" borderId="3" xfId="0" applyNumberFormat="1" applyFont="1" applyFill="1" applyBorder="1" applyAlignment="1">
      <alignment horizontal="right"/>
    </xf>
    <xf numFmtId="4" fontId="28" fillId="2" borderId="3" xfId="0" applyNumberFormat="1" applyFont="1" applyFill="1" applyBorder="1" applyAlignment="1">
      <alignment horizontal="right"/>
    </xf>
    <xf numFmtId="4" fontId="0" fillId="0" borderId="0" xfId="0" applyNumberFormat="1"/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0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4" fontId="21" fillId="0" borderId="0" xfId="0" applyNumberFormat="1" applyFont="1"/>
    <xf numFmtId="4" fontId="36" fillId="0" borderId="0" xfId="0" applyNumberFormat="1" applyFont="1"/>
    <xf numFmtId="4" fontId="38" fillId="2" borderId="3" xfId="0" applyNumberFormat="1" applyFont="1" applyFill="1" applyBorder="1" applyAlignment="1">
      <alignment horizontal="right"/>
    </xf>
    <xf numFmtId="4" fontId="39" fillId="0" borderId="0" xfId="0" applyNumberFormat="1" applyFont="1"/>
    <xf numFmtId="0" fontId="3" fillId="4" borderId="4" xfId="0" applyNumberFormat="1" applyFont="1" applyFill="1" applyBorder="1" applyAlignment="1" applyProtection="1">
      <alignment horizontal="center" vertical="center" wrapText="1"/>
    </xf>
    <xf numFmtId="4" fontId="40" fillId="2" borderId="3" xfId="0" applyNumberFormat="1" applyFont="1" applyFill="1" applyBorder="1" applyAlignment="1">
      <alignment horizontal="right"/>
    </xf>
    <xf numFmtId="0" fontId="3" fillId="7" borderId="4" xfId="0" applyNumberFormat="1" applyFont="1" applyFill="1" applyBorder="1" applyAlignment="1" applyProtection="1">
      <alignment horizontal="left" vertical="center" wrapText="1"/>
    </xf>
    <xf numFmtId="4" fontId="12" fillId="7" borderId="3" xfId="0" applyNumberFormat="1" applyFont="1" applyFill="1" applyBorder="1" applyAlignment="1">
      <alignment horizontal="right"/>
    </xf>
    <xf numFmtId="4" fontId="17" fillId="7" borderId="3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vertical="center" wrapText="1"/>
    </xf>
    <xf numFmtId="0" fontId="9" fillId="7" borderId="3" xfId="0" quotePrefix="1" applyFont="1" applyFill="1" applyBorder="1" applyAlignment="1">
      <alignment horizontal="left" vertical="center" wrapText="1"/>
    </xf>
    <xf numFmtId="0" fontId="9" fillId="7" borderId="4" xfId="0" quotePrefix="1" applyFont="1" applyFill="1" applyBorder="1" applyAlignment="1">
      <alignment horizontal="left" vertical="center" wrapText="1"/>
    </xf>
    <xf numFmtId="4" fontId="5" fillId="7" borderId="3" xfId="0" applyNumberFormat="1" applyFont="1" applyFill="1" applyBorder="1" applyAlignment="1">
      <alignment horizontal="right"/>
    </xf>
    <xf numFmtId="4" fontId="17" fillId="0" borderId="3" xfId="0" applyNumberFormat="1" applyFont="1" applyFill="1" applyBorder="1" applyAlignment="1">
      <alignment horizontal="right"/>
    </xf>
    <xf numFmtId="0" fontId="33" fillId="2" borderId="0" xfId="0" quotePrefix="1" applyFont="1" applyFill="1" applyBorder="1" applyAlignment="1">
      <alignment horizontal="left" vertical="center"/>
    </xf>
    <xf numFmtId="0" fontId="31" fillId="2" borderId="0" xfId="0" quotePrefix="1" applyFont="1" applyFill="1" applyBorder="1" applyAlignment="1">
      <alignment horizontal="left" vertical="center"/>
    </xf>
    <xf numFmtId="4" fontId="33" fillId="2" borderId="0" xfId="0" applyNumberFormat="1" applyFont="1" applyFill="1" applyBorder="1" applyAlignment="1">
      <alignment horizontal="right"/>
    </xf>
    <xf numFmtId="4" fontId="33" fillId="2" borderId="0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0" fontId="33" fillId="0" borderId="3" xfId="0" applyNumberFormat="1" applyFont="1" applyFill="1" applyBorder="1" applyAlignment="1" applyProtection="1">
      <alignment horizontal="left" vertical="center" wrapText="1"/>
    </xf>
    <xf numFmtId="4" fontId="31" fillId="0" borderId="3" xfId="0" applyNumberFormat="1" applyFont="1" applyFill="1" applyBorder="1" applyAlignment="1">
      <alignment horizontal="right"/>
    </xf>
    <xf numFmtId="0" fontId="41" fillId="2" borderId="3" xfId="0" quotePrefix="1" applyFont="1" applyFill="1" applyBorder="1" applyAlignment="1">
      <alignment horizontal="left" vertical="center"/>
    </xf>
    <xf numFmtId="0" fontId="37" fillId="2" borderId="3" xfId="0" quotePrefix="1" applyFont="1" applyFill="1" applyBorder="1" applyAlignment="1">
      <alignment horizontal="left" vertical="center"/>
    </xf>
    <xf numFmtId="4" fontId="6" fillId="8" borderId="3" xfId="0" applyNumberFormat="1" applyFont="1" applyFill="1" applyBorder="1" applyAlignment="1">
      <alignment horizontal="right"/>
    </xf>
    <xf numFmtId="0" fontId="1" fillId="0" borderId="0" xfId="0" applyFont="1"/>
    <xf numFmtId="0" fontId="1" fillId="0" borderId="0" xfId="0" applyFont="1" applyFill="1"/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40" fillId="0" borderId="3" xfId="0" quotePrefix="1" applyNumberFormat="1" applyFont="1" applyFill="1" applyBorder="1" applyAlignment="1" applyProtection="1">
      <alignment horizontal="center" vertical="center" wrapText="1"/>
    </xf>
    <xf numFmtId="0" fontId="40" fillId="2" borderId="3" xfId="0" applyNumberFormat="1" applyFont="1" applyFill="1" applyBorder="1" applyAlignment="1" applyProtection="1">
      <alignment horizontal="center" vertical="center" wrapText="1"/>
    </xf>
    <xf numFmtId="0" fontId="44" fillId="0" borderId="0" xfId="0" applyFont="1"/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/>
    <xf numFmtId="0" fontId="0" fillId="3" borderId="0" xfId="0" applyFill="1"/>
    <xf numFmtId="0" fontId="7" fillId="2" borderId="0" xfId="0" quotePrefix="1" applyNumberFormat="1" applyFont="1" applyFill="1" applyBorder="1" applyAlignment="1" applyProtection="1">
      <alignment horizontal="left" wrapText="1"/>
    </xf>
    <xf numFmtId="0" fontId="8" fillId="2" borderId="0" xfId="0" applyNumberFormat="1" applyFont="1" applyFill="1" applyBorder="1" applyAlignment="1" applyProtection="1">
      <alignment wrapText="1"/>
    </xf>
    <xf numFmtId="3" fontId="5" fillId="2" borderId="0" xfId="0" applyNumberFormat="1" applyFont="1" applyFill="1" applyBorder="1" applyAlignment="1">
      <alignment horizontal="right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quotePrefix="1" applyNumberFormat="1" applyFont="1" applyFill="1" applyBorder="1" applyAlignment="1" applyProtection="1">
      <alignment horizontal="center" vertical="center" wrapText="1"/>
    </xf>
    <xf numFmtId="0" fontId="40" fillId="4" borderId="3" xfId="0" applyNumberFormat="1" applyFont="1" applyFill="1" applyBorder="1" applyAlignment="1" applyProtection="1">
      <alignment horizontal="center" vertical="center" wrapText="1"/>
    </xf>
    <xf numFmtId="0" fontId="45" fillId="4" borderId="3" xfId="0" applyNumberFormat="1" applyFont="1" applyFill="1" applyBorder="1" applyAlignment="1" applyProtection="1">
      <alignment horizontal="center" vertical="center" wrapText="1"/>
    </xf>
    <xf numFmtId="0" fontId="15" fillId="4" borderId="3" xfId="0" quotePrefix="1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" fontId="6" fillId="0" borderId="3" xfId="0" applyNumberFormat="1" applyFont="1" applyFill="1" applyBorder="1" applyAlignment="1">
      <alignment horizontal="center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>
      <alignment horizontal="center"/>
    </xf>
    <xf numFmtId="0" fontId="0" fillId="0" borderId="3" xfId="0" applyFill="1" applyBorder="1"/>
    <xf numFmtId="4" fontId="0" fillId="0" borderId="3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6" fillId="5" borderId="3" xfId="0" applyNumberFormat="1" applyFont="1" applyFill="1" applyBorder="1" applyAlignment="1">
      <alignment horizontal="center"/>
    </xf>
    <xf numFmtId="4" fontId="1" fillId="5" borderId="3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5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horizontal="center"/>
    </xf>
    <xf numFmtId="3" fontId="6" fillId="0" borderId="3" xfId="0" applyNumberFormat="1" applyFont="1" applyFill="1" applyBorder="1" applyAlignment="1" applyProtection="1">
      <alignment horizontal="center" wrapText="1"/>
    </xf>
    <xf numFmtId="3" fontId="6" fillId="3" borderId="3" xfId="0" applyNumberFormat="1" applyFont="1" applyFill="1" applyBorder="1" applyAlignment="1" applyProtection="1">
      <alignment horizontal="center" wrapText="1"/>
    </xf>
    <xf numFmtId="0" fontId="3" fillId="2" borderId="0" xfId="0" applyNumberFormat="1" applyFont="1" applyFill="1" applyBorder="1" applyAlignment="1" applyProtection="1">
      <alignment horizontal="center"/>
    </xf>
    <xf numFmtId="3" fontId="6" fillId="0" borderId="3" xfId="0" applyNumberFormat="1" applyFont="1" applyBorder="1" applyAlignment="1">
      <alignment horizontal="center"/>
    </xf>
    <xf numFmtId="3" fontId="6" fillId="3" borderId="3" xfId="0" applyNumberFormat="1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4" fillId="2" borderId="4" xfId="0" quotePrefix="1" applyFont="1" applyFill="1" applyBorder="1" applyAlignment="1">
      <alignment horizontal="left" vertical="center"/>
    </xf>
    <xf numFmtId="4" fontId="10" fillId="2" borderId="3" xfId="0" quotePrefix="1" applyNumberFormat="1" applyFont="1" applyFill="1" applyBorder="1" applyAlignment="1">
      <alignment horizontal="right" vertical="center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42" fillId="2" borderId="0" xfId="0" applyNumberFormat="1" applyFont="1" applyFill="1" applyBorder="1" applyAlignment="1" applyProtection="1">
      <alignment horizontal="left" vertical="center" wrapText="1"/>
    </xf>
    <xf numFmtId="0" fontId="43" fillId="2" borderId="5" xfId="0" applyNumberFormat="1" applyFont="1" applyFill="1" applyBorder="1" applyAlignment="1" applyProtection="1">
      <alignment horizontal="left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40" fillId="0" borderId="3" xfId="0" quotePrefix="1" applyFont="1" applyBorder="1" applyAlignment="1">
      <alignment horizontal="center" wrapText="1"/>
    </xf>
    <xf numFmtId="0" fontId="40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7" fillId="2" borderId="0" xfId="0" quotePrefix="1" applyNumberFormat="1" applyFont="1" applyFill="1" applyBorder="1" applyAlignment="1" applyProtection="1">
      <alignment horizontal="left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7" fillId="2" borderId="0" xfId="2" applyFont="1" applyFill="1" applyAlignment="1">
      <alignment horizontal="center" vertical="center" wrapText="1"/>
    </xf>
    <xf numFmtId="0" fontId="15" fillId="4" borderId="1" xfId="0" applyNumberFormat="1" applyFont="1" applyFill="1" applyBorder="1" applyAlignment="1" applyProtection="1">
      <alignment horizontal="center" vertical="center" wrapText="1"/>
    </xf>
    <xf numFmtId="0" fontId="15" fillId="4" borderId="2" xfId="0" applyNumberFormat="1" applyFont="1" applyFill="1" applyBorder="1" applyAlignment="1" applyProtection="1">
      <alignment horizontal="center" vertical="center" wrapText="1"/>
    </xf>
    <xf numFmtId="0" fontId="15" fillId="4" borderId="4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0" fillId="2" borderId="1" xfId="0" quotePrefix="1" applyFont="1" applyFill="1" applyBorder="1" applyAlignment="1">
      <alignment horizontal="left" vertical="center"/>
    </xf>
    <xf numFmtId="0" fontId="10" fillId="2" borderId="2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2" xfId="0" applyNumberFormat="1" applyFont="1" applyFill="1" applyBorder="1" applyAlignment="1" applyProtection="1">
      <alignment horizontal="center" vertical="center" wrapText="1"/>
    </xf>
    <xf numFmtId="0" fontId="11" fillId="8" borderId="4" xfId="0" applyNumberFormat="1" applyFont="1" applyFill="1" applyBorder="1" applyAlignment="1" applyProtection="1">
      <alignment horizontal="center" vertical="center" wrapText="1"/>
    </xf>
    <xf numFmtId="0" fontId="10" fillId="2" borderId="1" xfId="0" quotePrefix="1" applyFont="1" applyFill="1" applyBorder="1" applyAlignment="1">
      <alignment horizontal="left" vertical="center" shrinkToFit="1"/>
    </xf>
    <xf numFmtId="0" fontId="10" fillId="2" borderId="2" xfId="0" quotePrefix="1" applyFont="1" applyFill="1" applyBorder="1" applyAlignment="1">
      <alignment horizontal="left" vertical="center" shrinkToFit="1"/>
    </xf>
    <xf numFmtId="0" fontId="10" fillId="2" borderId="4" xfId="0" quotePrefix="1" applyFont="1" applyFill="1" applyBorder="1" applyAlignment="1">
      <alignment horizontal="left" vertical="center" shrinkToFi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2" xfId="0" applyNumberFormat="1" applyFont="1" applyFill="1" applyBorder="1" applyAlignment="1" applyProtection="1">
      <alignment horizontal="center" vertical="center" wrapText="1"/>
    </xf>
    <xf numFmtId="0" fontId="11" fillId="7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 indent="1"/>
    </xf>
    <xf numFmtId="0" fontId="3" fillId="7" borderId="2" xfId="0" applyNumberFormat="1" applyFont="1" applyFill="1" applyBorder="1" applyAlignment="1" applyProtection="1">
      <alignment horizontal="left" vertical="center" wrapText="1" indent="1"/>
    </xf>
    <xf numFmtId="0" fontId="3" fillId="7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29" fillId="4" borderId="1" xfId="0" applyNumberFormat="1" applyFont="1" applyFill="1" applyBorder="1" applyAlignment="1" applyProtection="1">
      <alignment horizontal="center" vertical="center" wrapText="1"/>
    </xf>
    <xf numFmtId="0" fontId="29" fillId="4" borderId="2" xfId="0" applyNumberFormat="1" applyFont="1" applyFill="1" applyBorder="1" applyAlignment="1" applyProtection="1">
      <alignment horizontal="center" vertical="center" wrapText="1"/>
    </xf>
    <xf numFmtId="0" fontId="29" fillId="4" borderId="4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>
      <alignment horizontal="center" wrapText="1"/>
    </xf>
  </cellXfs>
  <cellStyles count="9">
    <cellStyle name="Normal" xfId="0" builtinId="0"/>
    <cellStyle name="Normal 2" xfId="8"/>
    <cellStyle name="Normalno 2" xfId="2"/>
    <cellStyle name="Normalno 2 2" xfId="3"/>
    <cellStyle name="Normalno 3" xfId="4"/>
    <cellStyle name="Normalno 3 2" xfId="1"/>
    <cellStyle name="Normalno 3 3" xfId="5"/>
    <cellStyle name="Normalno 4" xfId="6"/>
    <cellStyle name="Obično_List10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3"/>
  <sheetViews>
    <sheetView tabSelected="1" zoomScale="130" zoomScaleNormal="130" workbookViewId="0">
      <selection activeCell="O11" sqref="O11"/>
    </sheetView>
  </sheetViews>
  <sheetFormatPr defaultRowHeight="15" x14ac:dyDescent="0.25"/>
  <cols>
    <col min="6" max="6" width="16.85546875" customWidth="1"/>
    <col min="7" max="7" width="18" customWidth="1"/>
    <col min="8" max="8" width="19" customWidth="1"/>
    <col min="9" max="9" width="19.28515625" customWidth="1"/>
    <col min="10" max="10" width="12" style="103" customWidth="1"/>
    <col min="11" max="11" width="11.5703125" style="103" customWidth="1"/>
  </cols>
  <sheetData>
    <row r="1" spans="2:11" ht="42" customHeight="1" x14ac:dyDescent="0.25">
      <c r="B1" s="202" t="s">
        <v>231</v>
      </c>
      <c r="C1" s="202"/>
      <c r="D1" s="202"/>
      <c r="E1" s="202"/>
      <c r="F1" s="202"/>
      <c r="G1" s="202"/>
      <c r="H1" s="202"/>
      <c r="I1" s="202"/>
      <c r="J1" s="202"/>
      <c r="K1" s="202"/>
    </row>
    <row r="2" spans="2:11" ht="15.75" customHeight="1" x14ac:dyDescent="0.25">
      <c r="B2" s="202" t="s">
        <v>13</v>
      </c>
      <c r="C2" s="202"/>
      <c r="D2" s="202"/>
      <c r="E2" s="202"/>
      <c r="F2" s="202"/>
      <c r="G2" s="202"/>
      <c r="H2" s="202"/>
      <c r="I2" s="202"/>
      <c r="J2" s="202"/>
      <c r="K2" s="202"/>
    </row>
    <row r="3" spans="2:11" ht="6.75" customHeight="1" x14ac:dyDescent="0.25">
      <c r="B3" s="203"/>
      <c r="C3" s="203"/>
      <c r="D3" s="203"/>
      <c r="E3" s="146"/>
      <c r="F3" s="146"/>
      <c r="G3" s="146"/>
      <c r="H3" s="146"/>
      <c r="I3" s="147"/>
      <c r="J3" s="182"/>
      <c r="K3" s="183"/>
    </row>
    <row r="4" spans="2:11" ht="18" customHeight="1" x14ac:dyDescent="0.25">
      <c r="B4" s="202" t="s">
        <v>195</v>
      </c>
      <c r="C4" s="202"/>
      <c r="D4" s="202"/>
      <c r="E4" s="202"/>
      <c r="F4" s="202"/>
      <c r="G4" s="202"/>
      <c r="H4" s="202"/>
      <c r="I4" s="202"/>
      <c r="J4" s="202"/>
      <c r="K4" s="202"/>
    </row>
    <row r="5" spans="2:11" ht="18" customHeight="1" x14ac:dyDescent="0.25">
      <c r="B5" s="148"/>
      <c r="C5" s="149"/>
      <c r="D5" s="149"/>
      <c r="E5" s="149"/>
      <c r="F5" s="149"/>
      <c r="G5" s="149"/>
      <c r="H5" s="149"/>
      <c r="I5" s="149"/>
      <c r="J5" s="184"/>
      <c r="K5" s="183"/>
    </row>
    <row r="6" spans="2:11" x14ac:dyDescent="0.25">
      <c r="B6" s="204" t="s">
        <v>196</v>
      </c>
      <c r="C6" s="204"/>
      <c r="D6" s="204"/>
      <c r="E6" s="204"/>
      <c r="F6" s="204"/>
      <c r="G6" s="150"/>
      <c r="H6" s="150"/>
      <c r="I6" s="150"/>
      <c r="J6" s="185"/>
      <c r="K6" s="183"/>
    </row>
    <row r="7" spans="2:11" ht="25.5" x14ac:dyDescent="0.25">
      <c r="B7" s="199" t="s">
        <v>10</v>
      </c>
      <c r="C7" s="200"/>
      <c r="D7" s="200"/>
      <c r="E7" s="200"/>
      <c r="F7" s="201"/>
      <c r="G7" s="151" t="s">
        <v>234</v>
      </c>
      <c r="H7" s="1" t="s">
        <v>215</v>
      </c>
      <c r="I7" s="151" t="s">
        <v>230</v>
      </c>
      <c r="J7" s="1" t="s">
        <v>197</v>
      </c>
      <c r="K7" s="1" t="s">
        <v>198</v>
      </c>
    </row>
    <row r="8" spans="2:11" s="154" customFormat="1" ht="11.25" x14ac:dyDescent="0.2">
      <c r="B8" s="207">
        <v>1</v>
      </c>
      <c r="C8" s="207"/>
      <c r="D8" s="207"/>
      <c r="E8" s="207"/>
      <c r="F8" s="208"/>
      <c r="G8" s="152">
        <v>2</v>
      </c>
      <c r="H8" s="153">
        <v>3</v>
      </c>
      <c r="I8" s="153">
        <v>4</v>
      </c>
      <c r="J8" s="153" t="s">
        <v>216</v>
      </c>
      <c r="K8" s="153" t="s">
        <v>217</v>
      </c>
    </row>
    <row r="9" spans="2:11" x14ac:dyDescent="0.25">
      <c r="B9" s="209" t="s">
        <v>0</v>
      </c>
      <c r="C9" s="210"/>
      <c r="D9" s="210"/>
      <c r="E9" s="210"/>
      <c r="F9" s="211"/>
      <c r="G9" s="61">
        <f>G10+G11</f>
        <v>3375169.61</v>
      </c>
      <c r="H9" s="61">
        <f t="shared" ref="H9:I9" si="0">H10+H11</f>
        <v>4308925.2799999993</v>
      </c>
      <c r="I9" s="61">
        <f t="shared" si="0"/>
        <v>4204660.0299999993</v>
      </c>
      <c r="J9" s="186">
        <f>(I9/G9)*100</f>
        <v>124.57625885058854</v>
      </c>
      <c r="K9" s="186">
        <f>(I9/H9)*100</f>
        <v>97.580249291303559</v>
      </c>
    </row>
    <row r="10" spans="2:11" x14ac:dyDescent="0.25">
      <c r="B10" s="205" t="s">
        <v>199</v>
      </c>
      <c r="C10" s="206"/>
      <c r="D10" s="206"/>
      <c r="E10" s="206"/>
      <c r="F10" s="212"/>
      <c r="G10" s="62">
        <v>3375169.61</v>
      </c>
      <c r="H10" s="62">
        <f>' Račun prihoda i rashoda'!F12</f>
        <v>4308925.2799999993</v>
      </c>
      <c r="I10" s="62">
        <f>' Račun prihoda i rashoda'!G12</f>
        <v>4204660.0299999993</v>
      </c>
      <c r="J10" s="187"/>
      <c r="K10" s="187"/>
    </row>
    <row r="11" spans="2:11" x14ac:dyDescent="0.25">
      <c r="B11" s="213" t="s">
        <v>200</v>
      </c>
      <c r="C11" s="212"/>
      <c r="D11" s="212"/>
      <c r="E11" s="212"/>
      <c r="F11" s="212"/>
      <c r="G11" s="62"/>
      <c r="H11" s="62"/>
      <c r="I11" s="62"/>
      <c r="J11" s="187"/>
      <c r="K11" s="187"/>
    </row>
    <row r="12" spans="2:11" x14ac:dyDescent="0.25">
      <c r="B12" s="17" t="s">
        <v>1</v>
      </c>
      <c r="C12" s="145"/>
      <c r="D12" s="145"/>
      <c r="E12" s="145"/>
      <c r="F12" s="145"/>
      <c r="G12" s="61">
        <f>G13+G14</f>
        <v>3382423.5700000003</v>
      </c>
      <c r="H12" s="61">
        <f t="shared" ref="H12:I12" si="1">H13+H14</f>
        <v>4323070.46</v>
      </c>
      <c r="I12" s="61">
        <f t="shared" si="1"/>
        <v>4243900.1999999993</v>
      </c>
      <c r="J12" s="186">
        <f>(I12/G12)*100</f>
        <v>125.46921200646668</v>
      </c>
      <c r="K12" s="186">
        <f>(I12/H12)*100</f>
        <v>98.168656728301372</v>
      </c>
    </row>
    <row r="13" spans="2:11" x14ac:dyDescent="0.25">
      <c r="B13" s="214" t="s">
        <v>201</v>
      </c>
      <c r="C13" s="206"/>
      <c r="D13" s="206"/>
      <c r="E13" s="206"/>
      <c r="F13" s="206"/>
      <c r="G13" s="62">
        <v>3303873.47</v>
      </c>
      <c r="H13" s="62">
        <f>' Račun prihoda i rashoda'!F89</f>
        <v>4174726.83</v>
      </c>
      <c r="I13" s="62">
        <f>' Račun prihoda i rashoda'!G89</f>
        <v>4108178.0199999996</v>
      </c>
      <c r="J13" s="188"/>
      <c r="K13" s="188"/>
    </row>
    <row r="14" spans="2:11" x14ac:dyDescent="0.25">
      <c r="B14" s="215" t="s">
        <v>202</v>
      </c>
      <c r="C14" s="212"/>
      <c r="D14" s="212"/>
      <c r="E14" s="212"/>
      <c r="F14" s="212"/>
      <c r="G14" s="63">
        <v>78550.100000000006</v>
      </c>
      <c r="H14" s="63">
        <f>' Račun prihoda i rashoda'!F138</f>
        <v>148343.63</v>
      </c>
      <c r="I14" s="63">
        <f>' Račun prihoda i rashoda'!G138</f>
        <v>135722.18</v>
      </c>
      <c r="J14" s="188"/>
      <c r="K14" s="188"/>
    </row>
    <row r="15" spans="2:11" x14ac:dyDescent="0.25">
      <c r="B15" s="216" t="s">
        <v>203</v>
      </c>
      <c r="C15" s="210"/>
      <c r="D15" s="210"/>
      <c r="E15" s="210"/>
      <c r="F15" s="210"/>
      <c r="G15" s="61">
        <f>G9-G12</f>
        <v>-7253.9600000004284</v>
      </c>
      <c r="H15" s="61">
        <f t="shared" ref="H15:I15" si="2">H9-H12</f>
        <v>-14145.180000000633</v>
      </c>
      <c r="I15" s="61">
        <f t="shared" si="2"/>
        <v>-39240.169999999925</v>
      </c>
      <c r="J15" s="189"/>
      <c r="K15" s="189"/>
    </row>
    <row r="16" spans="2:11" ht="18" x14ac:dyDescent="0.25">
      <c r="B16" s="146"/>
      <c r="C16" s="155"/>
      <c r="D16" s="155"/>
      <c r="E16" s="155"/>
      <c r="F16" s="155"/>
      <c r="G16" s="155"/>
      <c r="H16" s="155"/>
      <c r="I16" s="156"/>
      <c r="J16" s="190"/>
      <c r="K16" s="190"/>
    </row>
    <row r="17" spans="1:42" ht="18" customHeight="1" x14ac:dyDescent="0.25">
      <c r="B17" s="204" t="s">
        <v>204</v>
      </c>
      <c r="C17" s="204"/>
      <c r="D17" s="204"/>
      <c r="E17" s="204"/>
      <c r="F17" s="204"/>
      <c r="G17" s="155"/>
      <c r="H17" s="155"/>
      <c r="I17" s="156"/>
      <c r="J17" s="190"/>
      <c r="K17" s="190"/>
    </row>
    <row r="18" spans="1:42" ht="25.5" x14ac:dyDescent="0.25">
      <c r="B18" s="199" t="s">
        <v>10</v>
      </c>
      <c r="C18" s="200"/>
      <c r="D18" s="200"/>
      <c r="E18" s="200"/>
      <c r="F18" s="201"/>
      <c r="G18" s="151" t="s">
        <v>234</v>
      </c>
      <c r="H18" s="1" t="s">
        <v>215</v>
      </c>
      <c r="I18" s="151" t="s">
        <v>230</v>
      </c>
      <c r="J18" s="1" t="s">
        <v>197</v>
      </c>
      <c r="K18" s="1" t="s">
        <v>198</v>
      </c>
    </row>
    <row r="19" spans="1:42" s="154" customFormat="1" x14ac:dyDescent="0.25">
      <c r="B19" s="207">
        <v>1</v>
      </c>
      <c r="C19" s="207"/>
      <c r="D19" s="207"/>
      <c r="E19" s="207"/>
      <c r="F19" s="208"/>
      <c r="G19" s="152">
        <v>2</v>
      </c>
      <c r="H19" s="153">
        <v>3</v>
      </c>
      <c r="I19" s="153">
        <v>4</v>
      </c>
      <c r="J19" s="153" t="s">
        <v>216</v>
      </c>
      <c r="K19" s="153" t="s">
        <v>217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</row>
    <row r="20" spans="1:42" ht="15.75" customHeight="1" x14ac:dyDescent="0.25">
      <c r="A20" s="154"/>
      <c r="B20" s="205" t="s">
        <v>205</v>
      </c>
      <c r="C20" s="217"/>
      <c r="D20" s="217"/>
      <c r="E20" s="217"/>
      <c r="F20" s="218"/>
      <c r="G20" s="63">
        <v>0</v>
      </c>
      <c r="H20" s="63">
        <v>0</v>
      </c>
      <c r="I20" s="63">
        <v>0</v>
      </c>
      <c r="J20" s="191"/>
      <c r="K20" s="191"/>
    </row>
    <row r="21" spans="1:42" x14ac:dyDescent="0.25">
      <c r="A21" s="154"/>
      <c r="B21" s="205" t="s">
        <v>206</v>
      </c>
      <c r="C21" s="206"/>
      <c r="D21" s="206"/>
      <c r="E21" s="206"/>
      <c r="F21" s="206"/>
      <c r="G21" s="63">
        <v>0</v>
      </c>
      <c r="H21" s="63">
        <v>0</v>
      </c>
      <c r="I21" s="63">
        <v>0</v>
      </c>
      <c r="J21" s="191"/>
      <c r="K21" s="191"/>
    </row>
    <row r="22" spans="1:42" s="157" customFormat="1" ht="15" customHeight="1" x14ac:dyDescent="0.25">
      <c r="A22" s="154"/>
      <c r="B22" s="221" t="s">
        <v>207</v>
      </c>
      <c r="C22" s="222"/>
      <c r="D22" s="222"/>
      <c r="E22" s="222"/>
      <c r="F22" s="223"/>
      <c r="G22" s="61">
        <f>G20-G21</f>
        <v>0</v>
      </c>
      <c r="H22" s="61">
        <f t="shared" ref="H22:I22" si="3">H20-H21</f>
        <v>0</v>
      </c>
      <c r="I22" s="61">
        <f t="shared" si="3"/>
        <v>0</v>
      </c>
      <c r="J22" s="192"/>
      <c r="K22" s="19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</row>
    <row r="23" spans="1:42" s="157" customFormat="1" ht="15" customHeight="1" x14ac:dyDescent="0.25">
      <c r="A23" s="154"/>
      <c r="B23" s="221" t="s">
        <v>208</v>
      </c>
      <c r="C23" s="222"/>
      <c r="D23" s="222"/>
      <c r="E23" s="222"/>
      <c r="F23" s="223"/>
      <c r="G23" s="61">
        <v>21399.14</v>
      </c>
      <c r="H23" s="61">
        <v>14145.18</v>
      </c>
      <c r="I23" s="61">
        <v>14145.18</v>
      </c>
      <c r="J23" s="192"/>
      <c r="K23" s="192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x14ac:dyDescent="0.25">
      <c r="A24" s="154"/>
      <c r="B24" s="216" t="s">
        <v>209</v>
      </c>
      <c r="C24" s="210"/>
      <c r="D24" s="210"/>
      <c r="E24" s="210"/>
      <c r="F24" s="210"/>
      <c r="G24" s="61">
        <f>G23+G15</f>
        <v>14145.179999999571</v>
      </c>
      <c r="H24" s="61">
        <f t="shared" ref="H24:I24" si="4">H23+H15</f>
        <v>-6.3300831243395805E-10</v>
      </c>
      <c r="I24" s="61">
        <f t="shared" si="4"/>
        <v>-25094.989999999925</v>
      </c>
      <c r="J24" s="192"/>
      <c r="K24" s="192"/>
    </row>
    <row r="25" spans="1:42" ht="15.75" x14ac:dyDescent="0.25">
      <c r="B25" s="158"/>
      <c r="C25" s="159"/>
      <c r="D25" s="159"/>
      <c r="E25" s="159"/>
      <c r="F25" s="159"/>
      <c r="G25" s="160"/>
      <c r="H25" s="160"/>
      <c r="I25" s="160"/>
      <c r="J25" s="193"/>
      <c r="K25" s="183"/>
    </row>
    <row r="26" spans="1:42" ht="15.75" x14ac:dyDescent="0.25">
      <c r="B26" s="224" t="s">
        <v>210</v>
      </c>
      <c r="C26" s="224"/>
      <c r="D26" s="224"/>
      <c r="E26" s="224"/>
      <c r="F26" s="224"/>
      <c r="G26" s="224"/>
      <c r="H26" s="224"/>
      <c r="I26" s="224"/>
      <c r="J26" s="224"/>
      <c r="K26" s="224"/>
    </row>
    <row r="27" spans="1:42" ht="15.75" x14ac:dyDescent="0.25">
      <c r="B27" s="10"/>
      <c r="C27" s="11"/>
      <c r="D27" s="11"/>
      <c r="E27" s="11"/>
      <c r="F27" s="11"/>
      <c r="G27" s="12"/>
      <c r="H27" s="12"/>
      <c r="I27" s="12"/>
      <c r="J27" s="194"/>
    </row>
    <row r="28" spans="1:42" ht="15" customHeight="1" x14ac:dyDescent="0.25">
      <c r="B28" s="219" t="s">
        <v>211</v>
      </c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42" x14ac:dyDescent="0.25">
      <c r="B29" s="219" t="s">
        <v>212</v>
      </c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42" ht="15" customHeight="1" x14ac:dyDescent="0.25">
      <c r="B30" s="219" t="s">
        <v>213</v>
      </c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42" ht="36.75" customHeight="1" x14ac:dyDescent="0.25"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42" ht="15" customHeight="1" x14ac:dyDescent="0.25">
      <c r="B32" s="220" t="s">
        <v>214</v>
      </c>
      <c r="C32" s="220"/>
      <c r="D32" s="220"/>
      <c r="E32" s="220"/>
      <c r="F32" s="220"/>
      <c r="G32" s="220"/>
      <c r="H32" s="220"/>
      <c r="I32" s="220"/>
      <c r="J32" s="220"/>
      <c r="K32" s="220"/>
    </row>
    <row r="33" spans="2:11" x14ac:dyDescent="0.25">
      <c r="B33" s="220"/>
      <c r="C33" s="220"/>
      <c r="D33" s="220"/>
      <c r="E33" s="220"/>
      <c r="F33" s="220"/>
      <c r="G33" s="220"/>
      <c r="H33" s="220"/>
      <c r="I33" s="220"/>
      <c r="J33" s="220"/>
      <c r="K33" s="220"/>
    </row>
  </sheetData>
  <mergeCells count="26">
    <mergeCell ref="B30:K31"/>
    <mergeCell ref="B32:K33"/>
    <mergeCell ref="B22:F22"/>
    <mergeCell ref="B23:F23"/>
    <mergeCell ref="B24:F24"/>
    <mergeCell ref="B26:K26"/>
    <mergeCell ref="B28:K28"/>
    <mergeCell ref="B29:K29"/>
    <mergeCell ref="B21:F21"/>
    <mergeCell ref="B8:F8"/>
    <mergeCell ref="B9:F9"/>
    <mergeCell ref="B10:F10"/>
    <mergeCell ref="B11:F11"/>
    <mergeCell ref="B13:F13"/>
    <mergeCell ref="B14:F14"/>
    <mergeCell ref="B15:F15"/>
    <mergeCell ref="B17:F17"/>
    <mergeCell ref="B18:F18"/>
    <mergeCell ref="B19:F19"/>
    <mergeCell ref="B20:F20"/>
    <mergeCell ref="B7:F7"/>
    <mergeCell ref="B1:K1"/>
    <mergeCell ref="B2:K2"/>
    <mergeCell ref="B3:D3"/>
    <mergeCell ref="B4:K4"/>
    <mergeCell ref="B6:F6"/>
  </mergeCell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zoomScale="150" zoomScaleNormal="150" workbookViewId="0">
      <selection activeCell="C80" sqref="C8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bestFit="1" customWidth="1"/>
    <col min="4" max="4" width="34.140625" customWidth="1"/>
    <col min="5" max="5" width="23.5703125" customWidth="1"/>
    <col min="6" max="7" width="23.28515625" customWidth="1"/>
    <col min="8" max="8" width="14.5703125" style="103" customWidth="1"/>
    <col min="9" max="9" width="14.140625" customWidth="1"/>
  </cols>
  <sheetData>
    <row r="1" spans="1:11" ht="42" customHeight="1" x14ac:dyDescent="0.25">
      <c r="A1" s="228" t="s">
        <v>229</v>
      </c>
      <c r="B1" s="228"/>
      <c r="C1" s="228"/>
      <c r="D1" s="228"/>
      <c r="E1" s="228"/>
      <c r="F1" s="228"/>
      <c r="G1" s="228"/>
      <c r="H1" s="228"/>
      <c r="I1" s="77"/>
      <c r="J1" s="77"/>
      <c r="K1" s="77"/>
    </row>
    <row r="2" spans="1:11" ht="18" customHeight="1" x14ac:dyDescent="0.25">
      <c r="A2" s="2"/>
      <c r="B2" s="2"/>
      <c r="C2" s="2"/>
      <c r="D2" s="2"/>
      <c r="E2" s="14"/>
      <c r="F2" s="2"/>
      <c r="G2" s="2"/>
      <c r="H2" s="14"/>
    </row>
    <row r="3" spans="1:11" ht="15.75" x14ac:dyDescent="0.25">
      <c r="A3" s="235" t="s">
        <v>13</v>
      </c>
      <c r="B3" s="235"/>
      <c r="C3" s="235"/>
      <c r="D3" s="235"/>
      <c r="E3" s="235"/>
      <c r="F3" s="235"/>
      <c r="G3" s="237"/>
      <c r="H3" s="237"/>
    </row>
    <row r="4" spans="1:11" ht="18" x14ac:dyDescent="0.25">
      <c r="A4" s="2"/>
      <c r="B4" s="2"/>
      <c r="C4" s="2"/>
      <c r="D4" s="2"/>
      <c r="E4" s="14"/>
      <c r="F4" s="2"/>
      <c r="G4" s="3"/>
      <c r="H4" s="100"/>
    </row>
    <row r="5" spans="1:11" ht="18" customHeight="1" x14ac:dyDescent="0.25">
      <c r="A5" s="235" t="s">
        <v>219</v>
      </c>
      <c r="B5" s="238"/>
      <c r="C5" s="238"/>
      <c r="D5" s="238"/>
      <c r="E5" s="238"/>
      <c r="F5" s="238"/>
      <c r="G5" s="238"/>
      <c r="H5" s="238"/>
    </row>
    <row r="6" spans="1:11" ht="18" x14ac:dyDescent="0.25">
      <c r="A6" s="2"/>
      <c r="B6" s="2"/>
      <c r="C6" s="2"/>
      <c r="D6" s="2"/>
      <c r="E6" s="14"/>
      <c r="F6" s="2"/>
      <c r="G6" s="3"/>
      <c r="H6" s="100"/>
    </row>
    <row r="7" spans="1:11" ht="15.75" x14ac:dyDescent="0.25">
      <c r="A7" s="235" t="s">
        <v>220</v>
      </c>
      <c r="B7" s="236"/>
      <c r="C7" s="236"/>
      <c r="D7" s="236"/>
      <c r="E7" s="236"/>
      <c r="F7" s="236"/>
      <c r="G7" s="236"/>
      <c r="H7" s="236"/>
    </row>
    <row r="8" spans="1:11" ht="18" x14ac:dyDescent="0.25">
      <c r="A8" s="2"/>
      <c r="B8" s="2"/>
      <c r="C8" s="2"/>
      <c r="D8" s="2"/>
      <c r="E8" s="14"/>
      <c r="F8" s="42"/>
      <c r="G8" s="42"/>
      <c r="H8" s="42"/>
      <c r="I8" s="31"/>
    </row>
    <row r="9" spans="1:11" ht="24.75" customHeight="1" x14ac:dyDescent="0.25">
      <c r="A9" s="225" t="s">
        <v>10</v>
      </c>
      <c r="B9" s="226"/>
      <c r="C9" s="226"/>
      <c r="D9" s="227"/>
      <c r="E9" s="162" t="s">
        <v>233</v>
      </c>
      <c r="F9" s="13" t="s">
        <v>215</v>
      </c>
      <c r="G9" s="162" t="s">
        <v>230</v>
      </c>
      <c r="H9" s="13" t="s">
        <v>197</v>
      </c>
      <c r="I9" s="13" t="s">
        <v>198</v>
      </c>
    </row>
    <row r="10" spans="1:11" x14ac:dyDescent="0.25">
      <c r="A10" s="229">
        <v>1</v>
      </c>
      <c r="B10" s="230"/>
      <c r="C10" s="230"/>
      <c r="D10" s="231"/>
      <c r="E10" s="161">
        <v>2</v>
      </c>
      <c r="F10" s="81">
        <v>3</v>
      </c>
      <c r="G10" s="81">
        <v>4</v>
      </c>
      <c r="H10" s="163" t="s">
        <v>216</v>
      </c>
      <c r="I10" s="163" t="s">
        <v>217</v>
      </c>
    </row>
    <row r="11" spans="1:11" x14ac:dyDescent="0.25">
      <c r="A11" s="167"/>
      <c r="B11" s="168"/>
      <c r="C11" s="168"/>
      <c r="D11" s="166" t="s">
        <v>226</v>
      </c>
      <c r="E11" s="169"/>
      <c r="F11" s="81"/>
      <c r="G11" s="81"/>
      <c r="H11" s="163"/>
      <c r="I11" s="163"/>
    </row>
    <row r="12" spans="1:11" ht="15.75" customHeight="1" x14ac:dyDescent="0.25">
      <c r="A12" s="32">
        <v>6</v>
      </c>
      <c r="B12" s="32"/>
      <c r="C12" s="32"/>
      <c r="D12" s="32" t="s">
        <v>3</v>
      </c>
      <c r="E12" s="49">
        <f>E13+E29+E33+E37+E46+E51</f>
        <v>3375169.61</v>
      </c>
      <c r="F12" s="49">
        <f>F13+F29+F33+F37+F46+F51</f>
        <v>4308925.2799999993</v>
      </c>
      <c r="G12" s="49">
        <f>G13+G29+G33+G37+G46+G51</f>
        <v>4204660.0299999993</v>
      </c>
      <c r="H12" s="102">
        <f>(G12/E12)*100</f>
        <v>124.57625885058854</v>
      </c>
      <c r="I12" s="102">
        <f>(G12/F12)*100</f>
        <v>97.580249291303559</v>
      </c>
    </row>
    <row r="13" spans="1:11" ht="25.5" x14ac:dyDescent="0.25">
      <c r="A13" s="19"/>
      <c r="B13" s="20">
        <v>63</v>
      </c>
      <c r="C13" s="20"/>
      <c r="D13" s="20" t="s">
        <v>15</v>
      </c>
      <c r="E13" s="39">
        <f>E17+E23+E14</f>
        <v>2861876.89</v>
      </c>
      <c r="F13" s="39">
        <f>F17+F23+F14</f>
        <v>3557602.4299999997</v>
      </c>
      <c r="G13" s="39">
        <f>G17+G23+G14</f>
        <v>3502894.92</v>
      </c>
      <c r="H13" s="102">
        <f t="shared" ref="H13:H54" si="0">(G13/E13)*100</f>
        <v>122.39851868680486</v>
      </c>
      <c r="I13" s="102">
        <f t="shared" ref="I13:I54" si="1">(G13/F13)*100</f>
        <v>98.462236546201154</v>
      </c>
    </row>
    <row r="14" spans="1:11" x14ac:dyDescent="0.25">
      <c r="A14" s="78"/>
      <c r="B14" s="135"/>
      <c r="C14" s="136">
        <v>53</v>
      </c>
      <c r="D14" s="86" t="s">
        <v>176</v>
      </c>
      <c r="E14" s="137">
        <f>E15</f>
        <v>20273.16</v>
      </c>
      <c r="F14" s="137">
        <v>0</v>
      </c>
      <c r="G14" s="137">
        <f>G15</f>
        <v>0</v>
      </c>
      <c r="H14" s="102">
        <f t="shared" si="0"/>
        <v>0</v>
      </c>
      <c r="I14" s="102" t="e">
        <f t="shared" si="1"/>
        <v>#DIV/0!</v>
      </c>
    </row>
    <row r="15" spans="1:11" ht="22.5" x14ac:dyDescent="0.25">
      <c r="A15" s="78"/>
      <c r="B15" s="78">
        <v>634</v>
      </c>
      <c r="C15" s="136"/>
      <c r="D15" s="96" t="s">
        <v>178</v>
      </c>
      <c r="E15" s="40">
        <f>E16</f>
        <v>20273.16</v>
      </c>
      <c r="F15" s="40"/>
      <c r="G15" s="40">
        <f>G16</f>
        <v>0</v>
      </c>
      <c r="H15" s="102">
        <f t="shared" si="0"/>
        <v>0</v>
      </c>
      <c r="I15" s="102" t="e">
        <f t="shared" si="1"/>
        <v>#DIV/0!</v>
      </c>
    </row>
    <row r="16" spans="1:11" ht="22.5" x14ac:dyDescent="0.25">
      <c r="A16" s="78"/>
      <c r="B16" s="135">
        <v>6341</v>
      </c>
      <c r="C16" s="135"/>
      <c r="D16" s="96" t="s">
        <v>179</v>
      </c>
      <c r="E16" s="40">
        <v>20273.16</v>
      </c>
      <c r="F16" s="40"/>
      <c r="G16" s="40">
        <v>0</v>
      </c>
      <c r="H16" s="102">
        <f t="shared" si="0"/>
        <v>0</v>
      </c>
      <c r="I16" s="102" t="e">
        <f t="shared" si="1"/>
        <v>#DIV/0!</v>
      </c>
    </row>
    <row r="17" spans="1:9" s="88" customFormat="1" x14ac:dyDescent="0.25">
      <c r="A17" s="86"/>
      <c r="B17" s="86"/>
      <c r="C17" s="86">
        <v>57</v>
      </c>
      <c r="D17" s="86" t="s">
        <v>29</v>
      </c>
      <c r="E17" s="87">
        <f>E18+E21</f>
        <v>2742022.26</v>
      </c>
      <c r="F17" s="87">
        <f>3147927.78+298346.75+18760+11081.15</f>
        <v>3476115.6799999997</v>
      </c>
      <c r="G17" s="87">
        <f>G18+G21</f>
        <v>3423087.92</v>
      </c>
      <c r="H17" s="102">
        <f t="shared" si="0"/>
        <v>124.83807917737329</v>
      </c>
      <c r="I17" s="102">
        <f t="shared" si="1"/>
        <v>98.474511066904441</v>
      </c>
    </row>
    <row r="18" spans="1:9" ht="22.5" x14ac:dyDescent="0.25">
      <c r="A18" s="6"/>
      <c r="B18" s="15">
        <v>636</v>
      </c>
      <c r="C18" s="7"/>
      <c r="D18" s="96" t="s">
        <v>101</v>
      </c>
      <c r="E18" s="92">
        <f>E19+E20</f>
        <v>2726315.32</v>
      </c>
      <c r="F18" s="36"/>
      <c r="G18" s="92">
        <f>G19+G20</f>
        <v>3412006.77</v>
      </c>
      <c r="H18" s="102">
        <f t="shared" si="0"/>
        <v>125.15084902211532</v>
      </c>
      <c r="I18" s="102" t="e">
        <f t="shared" si="1"/>
        <v>#DIV/0!</v>
      </c>
    </row>
    <row r="19" spans="1:9" ht="22.5" x14ac:dyDescent="0.25">
      <c r="A19" s="6"/>
      <c r="B19" s="6">
        <v>6361</v>
      </c>
      <c r="C19" s="7"/>
      <c r="D19" s="96" t="s">
        <v>102</v>
      </c>
      <c r="E19" s="36">
        <v>2722577.71</v>
      </c>
      <c r="F19" s="36"/>
      <c r="G19" s="36">
        <v>3393674.57</v>
      </c>
      <c r="H19" s="102">
        <f t="shared" si="0"/>
        <v>124.64931882513648</v>
      </c>
      <c r="I19" s="102" t="e">
        <f t="shared" si="1"/>
        <v>#DIV/0!</v>
      </c>
    </row>
    <row r="20" spans="1:9" ht="22.5" x14ac:dyDescent="0.25">
      <c r="A20" s="6"/>
      <c r="B20" s="6">
        <v>6362</v>
      </c>
      <c r="C20" s="7"/>
      <c r="D20" s="96" t="s">
        <v>103</v>
      </c>
      <c r="E20" s="36">
        <v>3737.61</v>
      </c>
      <c r="F20" s="36"/>
      <c r="G20" s="36">
        <v>18332.2</v>
      </c>
      <c r="H20" s="102">
        <f t="shared" si="0"/>
        <v>490.47920997642882</v>
      </c>
      <c r="I20" s="102" t="e">
        <f t="shared" si="1"/>
        <v>#DIV/0!</v>
      </c>
    </row>
    <row r="21" spans="1:9" ht="22.5" x14ac:dyDescent="0.25">
      <c r="A21" s="6"/>
      <c r="B21" s="15">
        <v>639</v>
      </c>
      <c r="C21" s="7"/>
      <c r="D21" s="96" t="s">
        <v>104</v>
      </c>
      <c r="E21" s="92">
        <f>E22</f>
        <v>15706.94</v>
      </c>
      <c r="F21" s="36"/>
      <c r="G21" s="92">
        <f>G22</f>
        <v>11081.15</v>
      </c>
      <c r="H21" s="102">
        <f t="shared" si="0"/>
        <v>70.549387722879189</v>
      </c>
      <c r="I21" s="102" t="e">
        <f t="shared" si="1"/>
        <v>#DIV/0!</v>
      </c>
    </row>
    <row r="22" spans="1:9" ht="22.5" x14ac:dyDescent="0.25">
      <c r="A22" s="6"/>
      <c r="B22" s="6">
        <v>6391</v>
      </c>
      <c r="C22" s="7"/>
      <c r="D22" s="96" t="s">
        <v>105</v>
      </c>
      <c r="E22" s="36">
        <v>15706.94</v>
      </c>
      <c r="F22" s="36"/>
      <c r="G22" s="36">
        <v>11081.15</v>
      </c>
      <c r="H22" s="102">
        <f t="shared" si="0"/>
        <v>70.549387722879189</v>
      </c>
      <c r="I22" s="102" t="e">
        <f t="shared" si="1"/>
        <v>#DIV/0!</v>
      </c>
    </row>
    <row r="23" spans="1:9" s="88" customFormat="1" x14ac:dyDescent="0.25">
      <c r="A23" s="86"/>
      <c r="B23" s="86"/>
      <c r="C23" s="86">
        <v>5402</v>
      </c>
      <c r="D23" s="86" t="s">
        <v>33</v>
      </c>
      <c r="E23" s="87">
        <f>E27+E24</f>
        <v>99581.47</v>
      </c>
      <c r="F23" s="87">
        <f>4952.91+1994.05+6300+62793.06+5446.73</f>
        <v>81486.749999999985</v>
      </c>
      <c r="G23" s="87">
        <f t="shared" ref="G23" si="2">G27+G24</f>
        <v>79807</v>
      </c>
      <c r="H23" s="102">
        <f t="shared" si="0"/>
        <v>80.142420070721982</v>
      </c>
      <c r="I23" s="102">
        <f t="shared" si="1"/>
        <v>97.938621923196123</v>
      </c>
    </row>
    <row r="24" spans="1:9" s="88" customFormat="1" ht="22.5" x14ac:dyDescent="0.25">
      <c r="A24" s="86"/>
      <c r="B24" s="15">
        <v>632</v>
      </c>
      <c r="C24" s="86"/>
      <c r="D24" s="96" t="s">
        <v>237</v>
      </c>
      <c r="E24" s="109">
        <f>E25+E26</f>
        <v>0</v>
      </c>
      <c r="F24" s="109"/>
      <c r="G24" s="109">
        <f t="shared" ref="G24" si="3">G25+G26</f>
        <v>6946.96</v>
      </c>
      <c r="H24" s="102" t="e">
        <f t="shared" si="0"/>
        <v>#DIV/0!</v>
      </c>
      <c r="I24" s="102" t="e">
        <f t="shared" si="1"/>
        <v>#DIV/0!</v>
      </c>
    </row>
    <row r="25" spans="1:9" s="88" customFormat="1" x14ac:dyDescent="0.25">
      <c r="A25" s="86"/>
      <c r="B25" s="6">
        <v>6321</v>
      </c>
      <c r="C25" s="86"/>
      <c r="D25" s="96" t="s">
        <v>238</v>
      </c>
      <c r="E25" s="108"/>
      <c r="F25" s="108"/>
      <c r="G25" s="108">
        <v>4952.91</v>
      </c>
      <c r="H25" s="102" t="e">
        <f t="shared" si="0"/>
        <v>#DIV/0!</v>
      </c>
      <c r="I25" s="102" t="e">
        <f t="shared" si="1"/>
        <v>#DIV/0!</v>
      </c>
    </row>
    <row r="26" spans="1:9" s="88" customFormat="1" ht="22.5" x14ac:dyDescent="0.25">
      <c r="A26" s="86"/>
      <c r="B26" s="6">
        <v>6322</v>
      </c>
      <c r="C26" s="86"/>
      <c r="D26" s="96" t="s">
        <v>239</v>
      </c>
      <c r="E26" s="108"/>
      <c r="F26" s="108"/>
      <c r="G26" s="108">
        <v>1994.05</v>
      </c>
      <c r="H26" s="102" t="e">
        <f t="shared" si="0"/>
        <v>#DIV/0!</v>
      </c>
      <c r="I26" s="102" t="e">
        <f t="shared" si="1"/>
        <v>#DIV/0!</v>
      </c>
    </row>
    <row r="27" spans="1:9" s="83" customFormat="1" ht="22.5" x14ac:dyDescent="0.25">
      <c r="A27" s="6"/>
      <c r="B27" s="15">
        <v>639</v>
      </c>
      <c r="C27" s="6"/>
      <c r="D27" s="96" t="s">
        <v>104</v>
      </c>
      <c r="E27" s="92">
        <f>E28</f>
        <v>99581.47</v>
      </c>
      <c r="F27" s="36"/>
      <c r="G27" s="92">
        <f>G28</f>
        <v>72860.039999999994</v>
      </c>
      <c r="H27" s="102">
        <f t="shared" si="0"/>
        <v>73.166262759527442</v>
      </c>
      <c r="I27" s="102" t="e">
        <f t="shared" si="1"/>
        <v>#DIV/0!</v>
      </c>
    </row>
    <row r="28" spans="1:9" s="83" customFormat="1" ht="33.75" x14ac:dyDescent="0.25">
      <c r="A28" s="6"/>
      <c r="B28" s="6">
        <v>6393</v>
      </c>
      <c r="C28" s="6"/>
      <c r="D28" s="96" t="s">
        <v>106</v>
      </c>
      <c r="E28" s="36">
        <v>99581.47</v>
      </c>
      <c r="F28" s="36"/>
      <c r="G28" s="36">
        <v>72860.039999999994</v>
      </c>
      <c r="H28" s="102">
        <f t="shared" si="0"/>
        <v>73.166262759527442</v>
      </c>
      <c r="I28" s="102" t="e">
        <f t="shared" si="1"/>
        <v>#DIV/0!</v>
      </c>
    </row>
    <row r="29" spans="1:9" x14ac:dyDescent="0.25">
      <c r="A29" s="21"/>
      <c r="B29" s="21">
        <v>64</v>
      </c>
      <c r="C29" s="22"/>
      <c r="D29" s="21" t="s">
        <v>18</v>
      </c>
      <c r="E29" s="39">
        <f t="shared" ref="E29:G29" si="4">E30</f>
        <v>0.03</v>
      </c>
      <c r="F29" s="39">
        <f>F30</f>
        <v>0</v>
      </c>
      <c r="G29" s="39">
        <f t="shared" si="4"/>
        <v>0</v>
      </c>
      <c r="H29" s="102">
        <f t="shared" si="0"/>
        <v>0</v>
      </c>
      <c r="I29" s="102" t="e">
        <f t="shared" si="1"/>
        <v>#DIV/0!</v>
      </c>
    </row>
    <row r="30" spans="1:9" s="88" customFormat="1" x14ac:dyDescent="0.25">
      <c r="A30" s="86"/>
      <c r="B30" s="86"/>
      <c r="C30" s="86">
        <v>31</v>
      </c>
      <c r="D30" s="86" t="s">
        <v>30</v>
      </c>
      <c r="E30" s="87">
        <f>E31</f>
        <v>0.03</v>
      </c>
      <c r="F30" s="87"/>
      <c r="G30" s="87">
        <f>G31</f>
        <v>0</v>
      </c>
      <c r="H30" s="102">
        <f t="shared" si="0"/>
        <v>0</v>
      </c>
      <c r="I30" s="102" t="e">
        <f t="shared" si="1"/>
        <v>#DIV/0!</v>
      </c>
    </row>
    <row r="31" spans="1:9" x14ac:dyDescent="0.25">
      <c r="A31" s="6"/>
      <c r="B31" s="15">
        <v>641</v>
      </c>
      <c r="C31" s="7"/>
      <c r="D31" s="97" t="s">
        <v>107</v>
      </c>
      <c r="E31" s="92">
        <f>E32</f>
        <v>0.03</v>
      </c>
      <c r="F31" s="36"/>
      <c r="G31" s="92">
        <f>G32</f>
        <v>0</v>
      </c>
      <c r="H31" s="102">
        <f t="shared" si="0"/>
        <v>0</v>
      </c>
      <c r="I31" s="102" t="e">
        <f t="shared" si="1"/>
        <v>#DIV/0!</v>
      </c>
    </row>
    <row r="32" spans="1:9" ht="22.5" x14ac:dyDescent="0.25">
      <c r="A32" s="6"/>
      <c r="B32" s="6">
        <v>6413</v>
      </c>
      <c r="C32" s="7"/>
      <c r="D32" s="96" t="s">
        <v>108</v>
      </c>
      <c r="E32" s="36">
        <v>0.03</v>
      </c>
      <c r="F32" s="36"/>
      <c r="G32" s="36">
        <v>0</v>
      </c>
      <c r="H32" s="102">
        <f t="shared" si="0"/>
        <v>0</v>
      </c>
      <c r="I32" s="102" t="e">
        <f t="shared" si="1"/>
        <v>#DIV/0!</v>
      </c>
    </row>
    <row r="33" spans="1:9" ht="58.5" customHeight="1" x14ac:dyDescent="0.25">
      <c r="A33" s="21"/>
      <c r="B33" s="21">
        <v>65</v>
      </c>
      <c r="C33" s="22"/>
      <c r="D33" s="23" t="s">
        <v>19</v>
      </c>
      <c r="E33" s="39">
        <f t="shared" ref="E33:G33" si="5">E34</f>
        <v>74263.25</v>
      </c>
      <c r="F33" s="39">
        <f>F34</f>
        <v>90440</v>
      </c>
      <c r="G33" s="39">
        <f t="shared" si="5"/>
        <v>82950.42</v>
      </c>
      <c r="H33" s="102">
        <f t="shared" si="0"/>
        <v>111.69780476884597</v>
      </c>
      <c r="I33" s="102">
        <f t="shared" si="1"/>
        <v>91.718730650154797</v>
      </c>
    </row>
    <row r="34" spans="1:9" s="88" customFormat="1" x14ac:dyDescent="0.25">
      <c r="A34" s="86"/>
      <c r="B34" s="86"/>
      <c r="C34" s="86">
        <v>41</v>
      </c>
      <c r="D34" s="86" t="s">
        <v>28</v>
      </c>
      <c r="E34" s="87">
        <f>E35</f>
        <v>74263.25</v>
      </c>
      <c r="F34" s="87">
        <f>77440+13000</f>
        <v>90440</v>
      </c>
      <c r="G34" s="87">
        <f>G35</f>
        <v>82950.42</v>
      </c>
      <c r="H34" s="102">
        <f t="shared" si="0"/>
        <v>111.69780476884597</v>
      </c>
      <c r="I34" s="102">
        <f t="shared" si="1"/>
        <v>91.718730650154797</v>
      </c>
    </row>
    <row r="35" spans="1:9" x14ac:dyDescent="0.25">
      <c r="A35" s="6"/>
      <c r="B35" s="15">
        <v>652</v>
      </c>
      <c r="C35" s="7"/>
      <c r="D35" s="97" t="s">
        <v>109</v>
      </c>
      <c r="E35" s="92">
        <f>E36</f>
        <v>74263.25</v>
      </c>
      <c r="F35" s="36"/>
      <c r="G35" s="92">
        <f>G36</f>
        <v>82950.42</v>
      </c>
      <c r="H35" s="102">
        <f t="shared" si="0"/>
        <v>111.69780476884597</v>
      </c>
      <c r="I35" s="102" t="e">
        <f t="shared" si="1"/>
        <v>#DIV/0!</v>
      </c>
    </row>
    <row r="36" spans="1:9" x14ac:dyDescent="0.25">
      <c r="A36" s="6"/>
      <c r="B36" s="6">
        <v>6526</v>
      </c>
      <c r="C36" s="7"/>
      <c r="D36" s="97" t="s">
        <v>110</v>
      </c>
      <c r="E36" s="36">
        <v>74263.25</v>
      </c>
      <c r="F36" s="36"/>
      <c r="G36" s="36">
        <v>82950.42</v>
      </c>
      <c r="H36" s="102">
        <f t="shared" si="0"/>
        <v>111.69780476884597</v>
      </c>
      <c r="I36" s="102" t="e">
        <f t="shared" si="1"/>
        <v>#DIV/0!</v>
      </c>
    </row>
    <row r="37" spans="1:9" ht="25.5" x14ac:dyDescent="0.25">
      <c r="A37" s="21"/>
      <c r="B37" s="21">
        <v>66</v>
      </c>
      <c r="C37" s="22"/>
      <c r="D37" s="23" t="s">
        <v>24</v>
      </c>
      <c r="E37" s="39">
        <f>E39+E43</f>
        <v>6449.55</v>
      </c>
      <c r="F37" s="39">
        <f>F38+F42</f>
        <v>10128.75</v>
      </c>
      <c r="G37" s="39">
        <f>G39+G43</f>
        <v>11706.779999999999</v>
      </c>
      <c r="H37" s="102">
        <f t="shared" si="0"/>
        <v>181.5131288229411</v>
      </c>
      <c r="I37" s="102">
        <f t="shared" si="1"/>
        <v>115.57971121806736</v>
      </c>
    </row>
    <row r="38" spans="1:9" s="88" customFormat="1" x14ac:dyDescent="0.25">
      <c r="A38" s="86"/>
      <c r="B38" s="86"/>
      <c r="C38" s="86">
        <v>31</v>
      </c>
      <c r="D38" s="86" t="s">
        <v>30</v>
      </c>
      <c r="E38" s="87">
        <f>E39</f>
        <v>3206.4100000000003</v>
      </c>
      <c r="F38" s="87">
        <f>1755+10+2080+100</f>
        <v>3945</v>
      </c>
      <c r="G38" s="87">
        <f>G39</f>
        <v>4923.03</v>
      </c>
      <c r="H38" s="102">
        <f t="shared" si="0"/>
        <v>153.53713342959881</v>
      </c>
      <c r="I38" s="102">
        <f t="shared" si="1"/>
        <v>124.79163498098859</v>
      </c>
    </row>
    <row r="39" spans="1:9" ht="22.5" x14ac:dyDescent="0.25">
      <c r="A39" s="6"/>
      <c r="B39" s="15">
        <v>661</v>
      </c>
      <c r="C39" s="7"/>
      <c r="D39" s="96" t="s">
        <v>111</v>
      </c>
      <c r="E39" s="92">
        <f>E40+E41</f>
        <v>3206.4100000000003</v>
      </c>
      <c r="F39" s="36"/>
      <c r="G39" s="92">
        <f>G40+G41</f>
        <v>4923.03</v>
      </c>
      <c r="H39" s="102">
        <f t="shared" si="0"/>
        <v>153.53713342959881</v>
      </c>
      <c r="I39" s="102" t="e">
        <f t="shared" si="1"/>
        <v>#DIV/0!</v>
      </c>
    </row>
    <row r="40" spans="1:9" x14ac:dyDescent="0.25">
      <c r="A40" s="6"/>
      <c r="B40" s="6">
        <v>6614</v>
      </c>
      <c r="C40" s="7"/>
      <c r="D40" s="97" t="s">
        <v>112</v>
      </c>
      <c r="E40" s="36">
        <v>466.84</v>
      </c>
      <c r="F40" s="36"/>
      <c r="G40" s="36">
        <v>715</v>
      </c>
      <c r="H40" s="102">
        <f t="shared" si="0"/>
        <v>153.15739868049013</v>
      </c>
      <c r="I40" s="102" t="e">
        <f t="shared" si="1"/>
        <v>#DIV/0!</v>
      </c>
    </row>
    <row r="41" spans="1:9" x14ac:dyDescent="0.25">
      <c r="A41" s="6"/>
      <c r="B41" s="6">
        <v>6615</v>
      </c>
      <c r="C41" s="7"/>
      <c r="D41" s="97" t="s">
        <v>113</v>
      </c>
      <c r="E41" s="36">
        <v>2739.57</v>
      </c>
      <c r="F41" s="36"/>
      <c r="G41" s="36">
        <v>4208.03</v>
      </c>
      <c r="H41" s="102">
        <f t="shared" si="0"/>
        <v>153.60184262493749</v>
      </c>
      <c r="I41" s="102" t="e">
        <f t="shared" si="1"/>
        <v>#DIV/0!</v>
      </c>
    </row>
    <row r="42" spans="1:9" s="88" customFormat="1" x14ac:dyDescent="0.25">
      <c r="A42" s="86"/>
      <c r="B42" s="86"/>
      <c r="C42" s="86">
        <v>6103</v>
      </c>
      <c r="D42" s="86" t="s">
        <v>31</v>
      </c>
      <c r="E42" s="87">
        <f>E43</f>
        <v>3243.14</v>
      </c>
      <c r="F42" s="87">
        <f>380+5803.75</f>
        <v>6183.75</v>
      </c>
      <c r="G42" s="87">
        <f>G43</f>
        <v>6783.75</v>
      </c>
      <c r="H42" s="102">
        <f t="shared" si="0"/>
        <v>209.17228365102955</v>
      </c>
      <c r="I42" s="102">
        <f t="shared" si="1"/>
        <v>109.70285021224986</v>
      </c>
    </row>
    <row r="43" spans="1:9" ht="33.75" x14ac:dyDescent="0.25">
      <c r="A43" s="6"/>
      <c r="B43" s="15">
        <v>663</v>
      </c>
      <c r="C43" s="7"/>
      <c r="D43" s="96" t="s">
        <v>114</v>
      </c>
      <c r="E43" s="92">
        <f>E44+E45</f>
        <v>3243.14</v>
      </c>
      <c r="F43" s="36"/>
      <c r="G43" s="92">
        <f>G44+G45</f>
        <v>6783.75</v>
      </c>
      <c r="H43" s="102">
        <f t="shared" si="0"/>
        <v>209.17228365102955</v>
      </c>
      <c r="I43" s="102" t="e">
        <f t="shared" si="1"/>
        <v>#DIV/0!</v>
      </c>
    </row>
    <row r="44" spans="1:9" x14ac:dyDescent="0.25">
      <c r="A44" s="6"/>
      <c r="B44" s="6">
        <v>6631</v>
      </c>
      <c r="C44" s="7"/>
      <c r="D44" s="97" t="s">
        <v>115</v>
      </c>
      <c r="E44" s="36">
        <v>1475.31</v>
      </c>
      <c r="F44" s="36"/>
      <c r="G44" s="36">
        <v>980</v>
      </c>
      <c r="H44" s="102">
        <f t="shared" si="0"/>
        <v>66.426717096745762</v>
      </c>
      <c r="I44" s="102" t="e">
        <f t="shared" si="1"/>
        <v>#DIV/0!</v>
      </c>
    </row>
    <row r="45" spans="1:9" x14ac:dyDescent="0.25">
      <c r="A45" s="6"/>
      <c r="B45" s="6">
        <v>6632</v>
      </c>
      <c r="C45" s="7"/>
      <c r="D45" s="97" t="s">
        <v>116</v>
      </c>
      <c r="E45" s="36">
        <v>1767.83</v>
      </c>
      <c r="F45" s="36"/>
      <c r="G45" s="36">
        <v>5803.75</v>
      </c>
      <c r="H45" s="102">
        <f t="shared" si="0"/>
        <v>328.29796982741556</v>
      </c>
      <c r="I45" s="102" t="e">
        <f t="shared" si="1"/>
        <v>#DIV/0!</v>
      </c>
    </row>
    <row r="46" spans="1:9" ht="25.5" x14ac:dyDescent="0.25">
      <c r="A46" s="21"/>
      <c r="B46" s="21">
        <v>67</v>
      </c>
      <c r="C46" s="22"/>
      <c r="D46" s="20" t="s">
        <v>16</v>
      </c>
      <c r="E46" s="39">
        <f>E47</f>
        <v>432579.89</v>
      </c>
      <c r="F46" s="39">
        <f>178361.35+689.82+40800+60000+70+170900+67000+4050+76038.65+39500+13294.28</f>
        <v>650704.10000000009</v>
      </c>
      <c r="G46" s="39">
        <f>G47</f>
        <v>607107.69999999995</v>
      </c>
      <c r="H46" s="102">
        <f t="shared" si="0"/>
        <v>140.34579832178514</v>
      </c>
      <c r="I46" s="102">
        <f t="shared" si="1"/>
        <v>93.300119055650626</v>
      </c>
    </row>
    <row r="47" spans="1:9" s="88" customFormat="1" x14ac:dyDescent="0.25">
      <c r="A47" s="86"/>
      <c r="B47" s="86"/>
      <c r="C47" s="86">
        <v>11</v>
      </c>
      <c r="D47" s="86" t="s">
        <v>4</v>
      </c>
      <c r="E47" s="87">
        <f>E48</f>
        <v>432579.89</v>
      </c>
      <c r="F47" s="87">
        <f>F46</f>
        <v>650704.10000000009</v>
      </c>
      <c r="G47" s="87">
        <f>G48</f>
        <v>607107.69999999995</v>
      </c>
      <c r="H47" s="102">
        <f t="shared" si="0"/>
        <v>140.34579832178514</v>
      </c>
      <c r="I47" s="102">
        <f t="shared" si="1"/>
        <v>93.300119055650626</v>
      </c>
    </row>
    <row r="48" spans="1:9" ht="33.75" x14ac:dyDescent="0.25">
      <c r="A48" s="6"/>
      <c r="B48" s="6">
        <v>671</v>
      </c>
      <c r="C48" s="7"/>
      <c r="D48" s="96" t="s">
        <v>117</v>
      </c>
      <c r="E48" s="36">
        <f>E49+E50</f>
        <v>432579.89</v>
      </c>
      <c r="F48" s="36"/>
      <c r="G48" s="36">
        <f>G49+G50</f>
        <v>607107.69999999995</v>
      </c>
      <c r="H48" s="102">
        <f t="shared" si="0"/>
        <v>140.34579832178514</v>
      </c>
      <c r="I48" s="102" t="e">
        <f t="shared" si="1"/>
        <v>#DIV/0!</v>
      </c>
    </row>
    <row r="49" spans="1:9" ht="22.5" x14ac:dyDescent="0.25">
      <c r="A49" s="6"/>
      <c r="B49" s="6">
        <v>6711</v>
      </c>
      <c r="C49" s="7"/>
      <c r="D49" s="96" t="s">
        <v>118</v>
      </c>
      <c r="E49" s="36">
        <v>380183.48</v>
      </c>
      <c r="F49" s="36"/>
      <c r="G49" s="36">
        <v>507460.45</v>
      </c>
      <c r="H49" s="102">
        <f t="shared" si="0"/>
        <v>133.47777499432644</v>
      </c>
      <c r="I49" s="102" t="e">
        <f t="shared" si="1"/>
        <v>#DIV/0!</v>
      </c>
    </row>
    <row r="50" spans="1:9" ht="33.75" x14ac:dyDescent="0.25">
      <c r="A50" s="6"/>
      <c r="B50" s="6">
        <v>6712</v>
      </c>
      <c r="C50" s="7"/>
      <c r="D50" s="96" t="s">
        <v>180</v>
      </c>
      <c r="E50" s="36">
        <v>52396.41</v>
      </c>
      <c r="F50" s="36"/>
      <c r="G50" s="36">
        <v>99647.25</v>
      </c>
      <c r="H50" s="102">
        <f t="shared" si="0"/>
        <v>190.17953710950806</v>
      </c>
      <c r="I50" s="102" t="e">
        <f t="shared" si="1"/>
        <v>#DIV/0!</v>
      </c>
    </row>
    <row r="51" spans="1:9" x14ac:dyDescent="0.25">
      <c r="A51" s="21"/>
      <c r="B51" s="21">
        <v>68</v>
      </c>
      <c r="C51" s="22"/>
      <c r="D51" s="23" t="s">
        <v>20</v>
      </c>
      <c r="E51" s="39">
        <f t="shared" ref="E51" si="6">E54</f>
        <v>0</v>
      </c>
      <c r="F51" s="39">
        <f>F52</f>
        <v>50</v>
      </c>
      <c r="G51" s="39">
        <f>G54</f>
        <v>0.21</v>
      </c>
      <c r="H51" s="102" t="e">
        <f t="shared" si="0"/>
        <v>#DIV/0!</v>
      </c>
      <c r="I51" s="102">
        <f t="shared" si="1"/>
        <v>0.42</v>
      </c>
    </row>
    <row r="52" spans="1:9" s="172" customFormat="1" x14ac:dyDescent="0.25">
      <c r="A52" s="25"/>
      <c r="B52" s="25"/>
      <c r="C52" s="86">
        <v>31</v>
      </c>
      <c r="D52" s="86" t="s">
        <v>30</v>
      </c>
      <c r="E52" s="90">
        <v>0</v>
      </c>
      <c r="F52" s="93">
        <f>30+20</f>
        <v>50</v>
      </c>
      <c r="G52" s="93">
        <f>G53</f>
        <v>0.21</v>
      </c>
      <c r="H52" s="102" t="e">
        <f t="shared" si="0"/>
        <v>#DIV/0!</v>
      </c>
      <c r="I52" s="102">
        <f t="shared" si="1"/>
        <v>0.42</v>
      </c>
    </row>
    <row r="53" spans="1:9" s="172" customFormat="1" x14ac:dyDescent="0.25">
      <c r="A53" s="25"/>
      <c r="B53" s="25">
        <v>683</v>
      </c>
      <c r="C53" s="86"/>
      <c r="D53" s="97" t="s">
        <v>224</v>
      </c>
      <c r="E53" s="108">
        <v>0</v>
      </c>
      <c r="F53" s="40"/>
      <c r="G53" s="40">
        <f>G54</f>
        <v>0.21</v>
      </c>
      <c r="H53" s="102" t="e">
        <f t="shared" si="0"/>
        <v>#DIV/0!</v>
      </c>
      <c r="I53" s="102" t="e">
        <f t="shared" si="1"/>
        <v>#DIV/0!</v>
      </c>
    </row>
    <row r="54" spans="1:9" s="91" customFormat="1" x14ac:dyDescent="0.25">
      <c r="A54" s="139"/>
      <c r="B54" s="139">
        <v>6831</v>
      </c>
      <c r="C54" s="138"/>
      <c r="D54" s="97" t="s">
        <v>224</v>
      </c>
      <c r="E54" s="108">
        <v>0</v>
      </c>
      <c r="F54" s="108"/>
      <c r="G54" s="108">
        <v>0.21</v>
      </c>
      <c r="H54" s="102" t="e">
        <f t="shared" si="0"/>
        <v>#DIV/0!</v>
      </c>
      <c r="I54" s="102" t="e">
        <f t="shared" si="1"/>
        <v>#DIV/0!</v>
      </c>
    </row>
    <row r="55" spans="1:9" s="91" customFormat="1" x14ac:dyDescent="0.25">
      <c r="A55" s="131"/>
      <c r="B55" s="131"/>
      <c r="C55" s="132"/>
      <c r="D55" s="132"/>
      <c r="E55" s="132"/>
      <c r="F55" s="133"/>
      <c r="G55" s="133"/>
      <c r="H55" s="134"/>
    </row>
    <row r="56" spans="1:9" ht="15.75" x14ac:dyDescent="0.25">
      <c r="A56" s="235" t="s">
        <v>169</v>
      </c>
      <c r="B56" s="236"/>
      <c r="C56" s="236"/>
      <c r="D56" s="236"/>
      <c r="E56" s="236"/>
      <c r="F56" s="236"/>
      <c r="G56" s="236"/>
      <c r="H56" s="236"/>
    </row>
    <row r="57" spans="1:9" x14ac:dyDescent="0.25">
      <c r="A57" s="33"/>
      <c r="B57" s="33"/>
      <c r="C57" s="34"/>
      <c r="D57" s="34"/>
      <c r="E57" s="34"/>
      <c r="F57" s="35"/>
      <c r="G57" s="35"/>
      <c r="H57" s="101"/>
    </row>
    <row r="58" spans="1:9" ht="25.5" customHeight="1" x14ac:dyDescent="0.25">
      <c r="A58" s="225" t="s">
        <v>10</v>
      </c>
      <c r="B58" s="226"/>
      <c r="C58" s="226"/>
      <c r="D58" s="227"/>
      <c r="E58" s="162" t="s">
        <v>233</v>
      </c>
      <c r="F58" s="13" t="s">
        <v>215</v>
      </c>
      <c r="G58" s="162" t="s">
        <v>230</v>
      </c>
      <c r="H58" s="13" t="s">
        <v>197</v>
      </c>
      <c r="I58" s="13" t="s">
        <v>198</v>
      </c>
    </row>
    <row r="59" spans="1:9" x14ac:dyDescent="0.25">
      <c r="A59" s="232">
        <v>1</v>
      </c>
      <c r="B59" s="233"/>
      <c r="C59" s="233"/>
      <c r="D59" s="234"/>
      <c r="E59" s="79">
        <v>2</v>
      </c>
      <c r="F59" s="80">
        <v>3</v>
      </c>
      <c r="G59" s="80">
        <v>4</v>
      </c>
      <c r="H59" s="163" t="s">
        <v>216</v>
      </c>
      <c r="I59" s="163" t="s">
        <v>217</v>
      </c>
    </row>
    <row r="60" spans="1:9" x14ac:dyDescent="0.25">
      <c r="A60" s="26">
        <v>9</v>
      </c>
      <c r="B60" s="26"/>
      <c r="C60" s="26"/>
      <c r="D60" s="26" t="s">
        <v>68</v>
      </c>
      <c r="E60" s="26"/>
      <c r="F60" s="27"/>
      <c r="G60" s="27"/>
      <c r="H60" s="175"/>
      <c r="I60" s="176"/>
    </row>
    <row r="61" spans="1:9" x14ac:dyDescent="0.25">
      <c r="A61" s="19"/>
      <c r="B61" s="20">
        <v>92</v>
      </c>
      <c r="C61" s="20"/>
      <c r="D61" s="20" t="s">
        <v>235</v>
      </c>
      <c r="E61" s="39">
        <f>SUM(E62:E68)</f>
        <v>7462.2899999999991</v>
      </c>
      <c r="F61" s="39">
        <f>SUM(F62:F68)</f>
        <v>18741.010000000002</v>
      </c>
      <c r="G61" s="39">
        <f>SUM(G62:G68)</f>
        <v>18741.010000000002</v>
      </c>
      <c r="H61" s="102">
        <f>G61/E61*100</f>
        <v>251.14287973262904</v>
      </c>
      <c r="I61" s="178">
        <f>G61/F61*100</f>
        <v>100</v>
      </c>
    </row>
    <row r="62" spans="1:9" x14ac:dyDescent="0.25">
      <c r="A62" s="6"/>
      <c r="B62" s="6"/>
      <c r="C62" s="7">
        <v>11</v>
      </c>
      <c r="D62" s="7" t="s">
        <v>4</v>
      </c>
      <c r="E62" s="198">
        <f>947.64+99.54</f>
        <v>1047.18</v>
      </c>
      <c r="F62" s="36">
        <f>13101.15+99.53+93.6</f>
        <v>13294.28</v>
      </c>
      <c r="G62" s="36">
        <v>13294.28</v>
      </c>
      <c r="H62" s="102">
        <f t="shared" ref="H62:H68" si="7">G62/E62*100</f>
        <v>1269.5315036574418</v>
      </c>
      <c r="I62" s="178">
        <f t="shared" ref="I62:I68" si="8">G62/F62*100</f>
        <v>100</v>
      </c>
    </row>
    <row r="63" spans="1:9" x14ac:dyDescent="0.25">
      <c r="A63" s="6"/>
      <c r="B63" s="6"/>
      <c r="C63" s="7">
        <v>6103</v>
      </c>
      <c r="D63" s="7" t="s">
        <v>31</v>
      </c>
      <c r="E63" s="198">
        <f>53.09</f>
        <v>53.09</v>
      </c>
      <c r="F63" s="36"/>
      <c r="G63" s="36"/>
      <c r="H63" s="102">
        <f t="shared" si="7"/>
        <v>0</v>
      </c>
      <c r="I63" s="178" t="e">
        <f t="shared" si="8"/>
        <v>#DIV/0!</v>
      </c>
    </row>
    <row r="64" spans="1:9" x14ac:dyDescent="0.25">
      <c r="A64" s="6"/>
      <c r="B64" s="6"/>
      <c r="C64" s="7">
        <v>57</v>
      </c>
      <c r="D64" s="7" t="s">
        <v>170</v>
      </c>
      <c r="E64" s="198">
        <v>4456.88</v>
      </c>
      <c r="F64" s="36"/>
      <c r="G64" s="36"/>
      <c r="H64" s="102">
        <f t="shared" si="7"/>
        <v>0</v>
      </c>
      <c r="I64" s="178" t="e">
        <f t="shared" si="8"/>
        <v>#DIV/0!</v>
      </c>
    </row>
    <row r="65" spans="1:9" x14ac:dyDescent="0.25">
      <c r="A65" s="6"/>
      <c r="B65" s="6"/>
      <c r="C65" s="7">
        <v>5402</v>
      </c>
      <c r="D65" s="7" t="s">
        <v>171</v>
      </c>
      <c r="E65" s="198"/>
      <c r="F65" s="36"/>
      <c r="G65" s="36"/>
      <c r="H65" s="102" t="e">
        <f t="shared" si="7"/>
        <v>#DIV/0!</v>
      </c>
      <c r="I65" s="178" t="e">
        <f t="shared" si="8"/>
        <v>#DIV/0!</v>
      </c>
    </row>
    <row r="66" spans="1:9" x14ac:dyDescent="0.25">
      <c r="A66" s="6"/>
      <c r="B66" s="6"/>
      <c r="C66" s="7">
        <v>57</v>
      </c>
      <c r="D66" s="7" t="s">
        <v>29</v>
      </c>
      <c r="E66" s="198">
        <f>77.78</f>
        <v>77.78</v>
      </c>
      <c r="F66" s="36"/>
      <c r="G66" s="36"/>
      <c r="H66" s="102">
        <f t="shared" si="7"/>
        <v>0</v>
      </c>
      <c r="I66" s="178" t="e">
        <f t="shared" si="8"/>
        <v>#DIV/0!</v>
      </c>
    </row>
    <row r="67" spans="1:9" x14ac:dyDescent="0.25">
      <c r="A67" s="6"/>
      <c r="B67" s="6"/>
      <c r="C67" s="7">
        <v>57</v>
      </c>
      <c r="D67" s="7" t="s">
        <v>172</v>
      </c>
      <c r="E67" s="198"/>
      <c r="F67" s="36"/>
      <c r="G67" s="36"/>
      <c r="H67" s="102" t="e">
        <f t="shared" si="7"/>
        <v>#DIV/0!</v>
      </c>
      <c r="I67" s="178" t="e">
        <f t="shared" si="8"/>
        <v>#DIV/0!</v>
      </c>
    </row>
    <row r="68" spans="1:9" x14ac:dyDescent="0.25">
      <c r="A68" s="6"/>
      <c r="B68" s="6"/>
      <c r="C68" s="7">
        <v>5402</v>
      </c>
      <c r="D68" s="7" t="s">
        <v>173</v>
      </c>
      <c r="E68" s="198">
        <v>1827.36</v>
      </c>
      <c r="F68" s="36">
        <v>5446.73</v>
      </c>
      <c r="G68" s="36">
        <v>5446.73</v>
      </c>
      <c r="H68" s="102">
        <f t="shared" si="7"/>
        <v>298.06551527887228</v>
      </c>
      <c r="I68" s="178">
        <f t="shared" si="8"/>
        <v>100</v>
      </c>
    </row>
    <row r="69" spans="1:9" s="91" customFormat="1" x14ac:dyDescent="0.25">
      <c r="A69" s="131"/>
      <c r="B69" s="131"/>
      <c r="C69" s="132"/>
      <c r="D69" s="132"/>
      <c r="E69" s="132"/>
      <c r="F69" s="133"/>
      <c r="G69" s="133"/>
      <c r="H69" s="134"/>
    </row>
    <row r="70" spans="1:9" ht="15.75" customHeight="1" x14ac:dyDescent="0.25">
      <c r="A70" s="235" t="s">
        <v>70</v>
      </c>
      <c r="B70" s="236"/>
      <c r="C70" s="236"/>
      <c r="D70" s="236"/>
      <c r="E70" s="236"/>
      <c r="F70" s="236"/>
      <c r="G70" s="236"/>
      <c r="H70" s="236"/>
    </row>
    <row r="71" spans="1:9" x14ac:dyDescent="0.25">
      <c r="A71" s="33"/>
      <c r="B71" s="33"/>
      <c r="C71" s="34"/>
      <c r="D71" s="34"/>
      <c r="E71" s="34"/>
      <c r="F71" s="35"/>
      <c r="G71" s="35"/>
      <c r="H71" s="101"/>
    </row>
    <row r="72" spans="1:9" ht="25.5" x14ac:dyDescent="0.25">
      <c r="A72" s="225" t="s">
        <v>10</v>
      </c>
      <c r="B72" s="226"/>
      <c r="C72" s="226"/>
      <c r="D72" s="227"/>
      <c r="E72" s="162" t="s">
        <v>233</v>
      </c>
      <c r="F72" s="13" t="s">
        <v>215</v>
      </c>
      <c r="G72" s="162" t="s">
        <v>230</v>
      </c>
      <c r="H72" s="13" t="s">
        <v>197</v>
      </c>
      <c r="I72" s="13" t="s">
        <v>198</v>
      </c>
    </row>
    <row r="73" spans="1:9" x14ac:dyDescent="0.25">
      <c r="A73" s="232">
        <v>1</v>
      </c>
      <c r="B73" s="233"/>
      <c r="C73" s="233"/>
      <c r="D73" s="234"/>
      <c r="E73" s="121">
        <v>2</v>
      </c>
      <c r="F73" s="80">
        <v>3</v>
      </c>
      <c r="G73" s="80">
        <v>4</v>
      </c>
      <c r="H73" s="163" t="s">
        <v>216</v>
      </c>
      <c r="I73" s="163" t="s">
        <v>217</v>
      </c>
    </row>
    <row r="74" spans="1:9" x14ac:dyDescent="0.25">
      <c r="A74" s="26">
        <v>9</v>
      </c>
      <c r="B74" s="26"/>
      <c r="C74" s="26"/>
      <c r="D74" s="26" t="s">
        <v>68</v>
      </c>
      <c r="E74" s="26"/>
      <c r="F74" s="27"/>
      <c r="G74" s="27"/>
      <c r="H74" s="175"/>
      <c r="I74" s="176"/>
    </row>
    <row r="75" spans="1:9" x14ac:dyDescent="0.25">
      <c r="A75" s="19"/>
      <c r="B75" s="20">
        <v>92</v>
      </c>
      <c r="C75" s="20"/>
      <c r="D75" s="20" t="s">
        <v>236</v>
      </c>
      <c r="E75" s="39">
        <f>SUM(E76:E81)</f>
        <v>24142.84</v>
      </c>
      <c r="F75" s="39">
        <f>SUM(F76:F81)</f>
        <v>32886.19</v>
      </c>
      <c r="G75" s="39">
        <f>SUM(G76:G81)</f>
        <v>32886.19</v>
      </c>
      <c r="H75" s="102">
        <f>G75/E75*100</f>
        <v>136.21508488645082</v>
      </c>
      <c r="I75" s="177">
        <f>G75/F75*100</f>
        <v>100</v>
      </c>
    </row>
    <row r="76" spans="1:9" x14ac:dyDescent="0.25">
      <c r="A76" s="6"/>
      <c r="B76" s="6"/>
      <c r="C76" s="7">
        <v>9231</v>
      </c>
      <c r="D76" s="7" t="s">
        <v>65</v>
      </c>
      <c r="E76" s="36">
        <v>3511.45</v>
      </c>
      <c r="F76" s="36">
        <v>3109.19</v>
      </c>
      <c r="G76" s="36">
        <f>'Prihodi i rashodi po izvorima'!F28</f>
        <v>3109.19</v>
      </c>
      <c r="H76" s="102">
        <f t="shared" ref="H76:H81" si="9">G76/E76*100</f>
        <v>88.544333537427562</v>
      </c>
      <c r="I76" s="177">
        <f t="shared" ref="I76:I81" si="10">G76/F76*100</f>
        <v>100</v>
      </c>
    </row>
    <row r="77" spans="1:9" x14ac:dyDescent="0.25">
      <c r="A77" s="6"/>
      <c r="B77" s="6"/>
      <c r="C77" s="7">
        <v>9241</v>
      </c>
      <c r="D77" s="7" t="s">
        <v>28</v>
      </c>
      <c r="E77" s="36">
        <v>7038.04</v>
      </c>
      <c r="F77" s="36">
        <v>5805.83</v>
      </c>
      <c r="G77" s="36">
        <f>'Prihodi i rashodi po izvorima'!F30</f>
        <v>5805.83</v>
      </c>
      <c r="H77" s="102">
        <f t="shared" si="9"/>
        <v>82.492142698819563</v>
      </c>
      <c r="I77" s="177">
        <f t="shared" si="10"/>
        <v>100</v>
      </c>
    </row>
    <row r="78" spans="1:9" x14ac:dyDescent="0.25">
      <c r="A78" s="6"/>
      <c r="B78" s="6"/>
      <c r="C78" s="7">
        <v>92530</v>
      </c>
      <c r="D78" s="7" t="s">
        <v>32</v>
      </c>
      <c r="E78" s="36">
        <v>12664.29</v>
      </c>
      <c r="F78" s="36">
        <v>17353.7</v>
      </c>
      <c r="G78" s="36">
        <f>'Prihodi i rashodi po izvorima'!F32</f>
        <v>17353.7</v>
      </c>
      <c r="H78" s="102">
        <f t="shared" si="9"/>
        <v>137.0286056304775</v>
      </c>
      <c r="I78" s="177">
        <f t="shared" si="10"/>
        <v>100</v>
      </c>
    </row>
    <row r="79" spans="1:9" x14ac:dyDescent="0.25">
      <c r="A79" s="6"/>
      <c r="B79" s="6"/>
      <c r="C79" s="7">
        <v>925402</v>
      </c>
      <c r="D79" s="7" t="s">
        <v>97</v>
      </c>
      <c r="E79" s="36">
        <v>0</v>
      </c>
      <c r="F79" s="36">
        <v>4718.59</v>
      </c>
      <c r="G79" s="36">
        <f>'Prihodi i rashodi po izvorima'!F34</f>
        <v>4718.59</v>
      </c>
      <c r="H79" s="102" t="e">
        <f t="shared" si="9"/>
        <v>#DIV/0!</v>
      </c>
      <c r="I79" s="177">
        <f t="shared" si="10"/>
        <v>100</v>
      </c>
    </row>
    <row r="80" spans="1:9" x14ac:dyDescent="0.25">
      <c r="A80" s="6"/>
      <c r="B80" s="6"/>
      <c r="C80" s="7">
        <v>9257</v>
      </c>
      <c r="D80" s="7" t="s">
        <v>29</v>
      </c>
      <c r="E80" s="36">
        <v>663.61</v>
      </c>
      <c r="F80" s="36">
        <v>1587.95</v>
      </c>
      <c r="G80" s="36">
        <f>'Prihodi i rashodi po izvorima'!F36</f>
        <v>1587.95</v>
      </c>
      <c r="H80" s="102">
        <f t="shared" si="9"/>
        <v>239.2896430132156</v>
      </c>
      <c r="I80" s="177">
        <f t="shared" si="10"/>
        <v>100</v>
      </c>
    </row>
    <row r="81" spans="1:12" x14ac:dyDescent="0.25">
      <c r="A81" s="6"/>
      <c r="B81" s="6"/>
      <c r="C81" s="7">
        <v>926103</v>
      </c>
      <c r="D81" s="7" t="s">
        <v>31</v>
      </c>
      <c r="E81" s="36">
        <v>265.45</v>
      </c>
      <c r="F81" s="36">
        <v>310.93</v>
      </c>
      <c r="G81" s="36">
        <f>'Prihodi i rashodi po izvorima'!F38</f>
        <v>310.93</v>
      </c>
      <c r="H81" s="102">
        <f t="shared" si="9"/>
        <v>117.13317008852893</v>
      </c>
      <c r="I81" s="177">
        <f t="shared" si="10"/>
        <v>100</v>
      </c>
    </row>
    <row r="82" spans="1:12" x14ac:dyDescent="0.25">
      <c r="A82" s="6"/>
      <c r="B82" s="6"/>
      <c r="C82" s="7"/>
      <c r="D82" s="7"/>
      <c r="E82" s="7"/>
      <c r="F82" s="4"/>
      <c r="G82" s="4"/>
      <c r="H82" s="175"/>
      <c r="I82" s="176"/>
    </row>
    <row r="83" spans="1:12" s="91" customFormat="1" x14ac:dyDescent="0.25">
      <c r="A83" s="131"/>
      <c r="B83" s="131"/>
      <c r="C83" s="132"/>
      <c r="D83" s="132"/>
      <c r="E83" s="132"/>
      <c r="F83" s="133"/>
      <c r="G83" s="133"/>
      <c r="H83" s="134"/>
    </row>
    <row r="84" spans="1:12" ht="15.75" x14ac:dyDescent="0.25">
      <c r="A84" s="235" t="s">
        <v>5</v>
      </c>
      <c r="B84" s="236"/>
      <c r="C84" s="236"/>
      <c r="D84" s="236"/>
      <c r="E84" s="236"/>
      <c r="F84" s="236"/>
      <c r="G84" s="236"/>
      <c r="H84" s="236"/>
    </row>
    <row r="85" spans="1:12" ht="18" x14ac:dyDescent="0.25">
      <c r="A85" s="2"/>
      <c r="B85" s="2"/>
      <c r="C85" s="2"/>
      <c r="D85" s="2"/>
      <c r="E85" s="14"/>
      <c r="F85" s="42"/>
      <c r="G85" s="42"/>
      <c r="H85" s="42"/>
      <c r="I85" s="31"/>
    </row>
    <row r="86" spans="1:12" ht="25.5" x14ac:dyDescent="0.25">
      <c r="A86" s="225" t="s">
        <v>10</v>
      </c>
      <c r="B86" s="226"/>
      <c r="C86" s="226"/>
      <c r="D86" s="227"/>
      <c r="E86" s="162" t="s">
        <v>233</v>
      </c>
      <c r="F86" s="13" t="s">
        <v>215</v>
      </c>
      <c r="G86" s="162" t="s">
        <v>230</v>
      </c>
      <c r="H86" s="13" t="s">
        <v>197</v>
      </c>
      <c r="I86" s="13" t="s">
        <v>198</v>
      </c>
    </row>
    <row r="87" spans="1:12" x14ac:dyDescent="0.25">
      <c r="A87" s="232">
        <v>1</v>
      </c>
      <c r="B87" s="233"/>
      <c r="C87" s="233"/>
      <c r="D87" s="234"/>
      <c r="E87" s="79">
        <v>2</v>
      </c>
      <c r="F87" s="80">
        <v>3</v>
      </c>
      <c r="G87" s="80">
        <v>4</v>
      </c>
      <c r="H87" s="163" t="s">
        <v>216</v>
      </c>
      <c r="I87" s="163" t="s">
        <v>217</v>
      </c>
    </row>
    <row r="88" spans="1:12" x14ac:dyDescent="0.25">
      <c r="A88" s="170"/>
      <c r="B88" s="171"/>
      <c r="C88" s="171"/>
      <c r="D88" s="166" t="s">
        <v>11</v>
      </c>
      <c r="E88" s="174">
        <f>E89+E138</f>
        <v>3382423.5700000003</v>
      </c>
      <c r="F88" s="174">
        <f t="shared" ref="F88:G88" si="11">F89+F138</f>
        <v>4323070.46</v>
      </c>
      <c r="G88" s="174">
        <f t="shared" si="11"/>
        <v>4243900.1999999993</v>
      </c>
      <c r="H88" s="173">
        <f>(G88/E88)*100</f>
        <v>125.46921200646668</v>
      </c>
      <c r="I88" s="179">
        <f>(G88/F88)*100</f>
        <v>98.168656728301372</v>
      </c>
    </row>
    <row r="89" spans="1:12" ht="15.75" customHeight="1" x14ac:dyDescent="0.25">
      <c r="A89" s="26">
        <v>3</v>
      </c>
      <c r="B89" s="26"/>
      <c r="C89" s="26"/>
      <c r="D89" s="26" t="s">
        <v>6</v>
      </c>
      <c r="E89" s="41">
        <f>E90+E97+E128+E132+E136</f>
        <v>3303873.47</v>
      </c>
      <c r="F89" s="41">
        <f t="shared" ref="F89:G89" si="12">F90+F97+F128+F132+F136</f>
        <v>4174726.83</v>
      </c>
      <c r="G89" s="41">
        <f t="shared" si="12"/>
        <v>4108178.0199999996</v>
      </c>
      <c r="H89" s="173">
        <f>(G89/E89)*100</f>
        <v>124.3442903399082</v>
      </c>
      <c r="I89" s="179">
        <f>(G89/F89)*100</f>
        <v>98.405912225878495</v>
      </c>
      <c r="L89" s="110"/>
    </row>
    <row r="90" spans="1:12" ht="15.75" customHeight="1" x14ac:dyDescent="0.25">
      <c r="A90" s="19"/>
      <c r="B90" s="20">
        <v>31</v>
      </c>
      <c r="C90" s="20"/>
      <c r="D90" s="20" t="s">
        <v>7</v>
      </c>
      <c r="E90" s="39">
        <f>E91+E93+E95</f>
        <v>2672968.6100000003</v>
      </c>
      <c r="F90" s="39">
        <f>17035.14+3094234.86+169600+71796.01+10462.99+59289.04+36000</f>
        <v>3458418.04</v>
      </c>
      <c r="G90" s="39">
        <f t="shared" ref="G90" si="13">G91+G93+G95</f>
        <v>3421659.1599999997</v>
      </c>
      <c r="H90" s="180">
        <f t="shared" ref="H90:H150" si="14">(G90/E90)*100</f>
        <v>128.00970229126631</v>
      </c>
      <c r="I90" s="181">
        <f t="shared" ref="I90:I148" si="15">(G90/F90)*100</f>
        <v>98.937118660183714</v>
      </c>
    </row>
    <row r="91" spans="1:12" x14ac:dyDescent="0.25">
      <c r="A91" s="6"/>
      <c r="B91" s="15">
        <v>311</v>
      </c>
      <c r="C91" s="7"/>
      <c r="D91" s="96" t="s">
        <v>119</v>
      </c>
      <c r="E91" s="92">
        <f>E92</f>
        <v>2217221.6</v>
      </c>
      <c r="F91" s="92"/>
      <c r="G91" s="92">
        <f t="shared" ref="G91" si="16">G92</f>
        <v>2847346.3</v>
      </c>
      <c r="H91" s="173">
        <f t="shared" si="14"/>
        <v>128.41956347529717</v>
      </c>
      <c r="I91" s="179"/>
    </row>
    <row r="92" spans="1:12" x14ac:dyDescent="0.25">
      <c r="A92" s="6"/>
      <c r="B92" s="6">
        <v>3111</v>
      </c>
      <c r="C92" s="7"/>
      <c r="D92" s="96" t="s">
        <v>120</v>
      </c>
      <c r="E92" s="36">
        <f>127847.58+1464.93+2445.75+11804.25+67426.57+2006232.52</f>
        <v>2217221.6</v>
      </c>
      <c r="F92" s="36"/>
      <c r="G92" s="36">
        <v>2847346.3</v>
      </c>
      <c r="H92" s="173">
        <f t="shared" si="14"/>
        <v>128.41956347529717</v>
      </c>
      <c r="I92" s="179"/>
    </row>
    <row r="93" spans="1:12" x14ac:dyDescent="0.25">
      <c r="A93" s="6"/>
      <c r="B93" s="15">
        <v>312</v>
      </c>
      <c r="C93" s="7"/>
      <c r="D93" s="96" t="s">
        <v>121</v>
      </c>
      <c r="E93" s="92">
        <f>E94</f>
        <v>102161.27</v>
      </c>
      <c r="F93" s="92"/>
      <c r="G93" s="92">
        <f t="shared" ref="G93" si="17">G94</f>
        <v>121424.75</v>
      </c>
      <c r="H93" s="173">
        <f t="shared" si="14"/>
        <v>118.85595196692445</v>
      </c>
      <c r="I93" s="179"/>
    </row>
    <row r="94" spans="1:12" x14ac:dyDescent="0.25">
      <c r="A94" s="6"/>
      <c r="B94" s="6">
        <v>3121</v>
      </c>
      <c r="C94" s="7"/>
      <c r="D94" s="96" t="s">
        <v>121</v>
      </c>
      <c r="E94" s="36">
        <f>14099.08+88062.19</f>
        <v>102161.27</v>
      </c>
      <c r="F94" s="36"/>
      <c r="G94" s="36">
        <v>121424.75</v>
      </c>
      <c r="H94" s="173">
        <f t="shared" si="14"/>
        <v>118.85595196692445</v>
      </c>
      <c r="I94" s="179"/>
    </row>
    <row r="95" spans="1:12" x14ac:dyDescent="0.25">
      <c r="A95" s="6"/>
      <c r="B95" s="15">
        <v>313</v>
      </c>
      <c r="C95" s="7"/>
      <c r="D95" s="96" t="s">
        <v>122</v>
      </c>
      <c r="E95" s="92">
        <f>E96</f>
        <v>353585.74</v>
      </c>
      <c r="F95" s="92"/>
      <c r="G95" s="92">
        <f t="shared" ref="G95" si="18">G96</f>
        <v>452888.11</v>
      </c>
      <c r="H95" s="173">
        <f t="shared" si="14"/>
        <v>128.08438202287232</v>
      </c>
      <c r="I95" s="179"/>
    </row>
    <row r="96" spans="1:12" ht="22.5" x14ac:dyDescent="0.25">
      <c r="A96" s="6"/>
      <c r="B96" s="6">
        <v>3132</v>
      </c>
      <c r="C96" s="7"/>
      <c r="D96" s="96" t="s">
        <v>123</v>
      </c>
      <c r="E96" s="36">
        <f>18819.5+241.72+403.55+11500+322620.97</f>
        <v>353585.74</v>
      </c>
      <c r="F96" s="36"/>
      <c r="G96" s="36">
        <v>452888.11</v>
      </c>
      <c r="H96" s="173">
        <f t="shared" si="14"/>
        <v>128.08438202287232</v>
      </c>
      <c r="I96" s="179"/>
    </row>
    <row r="97" spans="1:9" x14ac:dyDescent="0.25">
      <c r="A97" s="21"/>
      <c r="B97" s="21">
        <v>32</v>
      </c>
      <c r="C97" s="22"/>
      <c r="D97" s="21" t="s">
        <v>14</v>
      </c>
      <c r="E97" s="39">
        <f>E98+E103+E110+E119+E121</f>
        <v>527710.37999999989</v>
      </c>
      <c r="F97" s="39">
        <f>178361.35+318.56+53692.92+1785+1308.75+77390+1700+4952.91+4718.59+243122.8+1587.95+380+310.93+70+1300+4050+6300+4242.64+618.16+3504.02+3500</f>
        <v>593214.58000000007</v>
      </c>
      <c r="G97" s="39">
        <f t="shared" ref="G97" si="19">G98+G103+G110+G119+G121</f>
        <v>564948.07000000007</v>
      </c>
      <c r="H97" s="180">
        <f t="shared" si="14"/>
        <v>107.05646343359783</v>
      </c>
      <c r="I97" s="181">
        <f t="shared" si="15"/>
        <v>95.235027770221024</v>
      </c>
    </row>
    <row r="98" spans="1:9" x14ac:dyDescent="0.25">
      <c r="A98" s="6"/>
      <c r="B98" s="15">
        <v>321</v>
      </c>
      <c r="C98" s="7"/>
      <c r="D98" s="96" t="s">
        <v>124</v>
      </c>
      <c r="E98" s="92">
        <f>SUM(E99:E102)</f>
        <v>62920.94</v>
      </c>
      <c r="F98" s="92"/>
      <c r="G98" s="92">
        <f t="shared" ref="G98" si="20">SUM(G99:G102)</f>
        <v>66234.649999999994</v>
      </c>
      <c r="H98" s="173">
        <f t="shared" si="14"/>
        <v>105.26646613988919</v>
      </c>
      <c r="I98" s="179"/>
    </row>
    <row r="99" spans="1:9" x14ac:dyDescent="0.25">
      <c r="A99" s="6"/>
      <c r="B99" s="6">
        <v>3211</v>
      </c>
      <c r="C99" s="7"/>
      <c r="D99" s="96" t="s">
        <v>125</v>
      </c>
      <c r="E99" s="36">
        <f>9856.31+128.52+324.74+258.51</f>
        <v>10568.08</v>
      </c>
      <c r="F99" s="36"/>
      <c r="G99" s="36">
        <v>9317.7199999999993</v>
      </c>
      <c r="H99" s="173">
        <f t="shared" si="14"/>
        <v>88.168522569851845</v>
      </c>
      <c r="I99" s="179"/>
    </row>
    <row r="100" spans="1:9" ht="22.5" x14ac:dyDescent="0.25">
      <c r="A100" s="6"/>
      <c r="B100" s="6">
        <v>3212</v>
      </c>
      <c r="C100" s="7"/>
      <c r="D100" s="96" t="s">
        <v>126</v>
      </c>
      <c r="E100" s="36">
        <f>1698.26+70.16+860.04+6281.56+40948.84</f>
        <v>49858.86</v>
      </c>
      <c r="F100" s="36"/>
      <c r="G100" s="36">
        <v>53895.93</v>
      </c>
      <c r="H100" s="173">
        <f t="shared" si="14"/>
        <v>108.09699620087582</v>
      </c>
      <c r="I100" s="179"/>
    </row>
    <row r="101" spans="1:9" x14ac:dyDescent="0.25">
      <c r="A101" s="6"/>
      <c r="B101" s="6">
        <v>3213</v>
      </c>
      <c r="C101" s="7"/>
      <c r="D101" s="96" t="s">
        <v>127</v>
      </c>
      <c r="E101" s="36">
        <f>665+73</f>
        <v>738</v>
      </c>
      <c r="F101" s="36"/>
      <c r="G101" s="36">
        <v>911.5</v>
      </c>
      <c r="H101" s="173">
        <f t="shared" si="14"/>
        <v>123.50948509485096</v>
      </c>
      <c r="I101" s="179"/>
    </row>
    <row r="102" spans="1:9" ht="22.5" x14ac:dyDescent="0.25">
      <c r="A102" s="6"/>
      <c r="B102" s="6">
        <v>3214</v>
      </c>
      <c r="C102" s="7"/>
      <c r="D102" s="96" t="s">
        <v>128</v>
      </c>
      <c r="E102" s="36">
        <f>1756</f>
        <v>1756</v>
      </c>
      <c r="F102" s="36"/>
      <c r="G102" s="36">
        <v>2109.5</v>
      </c>
      <c r="H102" s="173">
        <f t="shared" si="14"/>
        <v>120.13097949886105</v>
      </c>
      <c r="I102" s="179"/>
    </row>
    <row r="103" spans="1:9" x14ac:dyDescent="0.25">
      <c r="A103" s="6"/>
      <c r="B103" s="15">
        <v>322</v>
      </c>
      <c r="C103" s="7"/>
      <c r="D103" s="96" t="s">
        <v>129</v>
      </c>
      <c r="E103" s="92">
        <f>SUM(E104:E109)</f>
        <v>241914.75999999998</v>
      </c>
      <c r="F103" s="92"/>
      <c r="G103" s="92">
        <f t="shared" ref="G103" si="21">SUM(G104:G109)</f>
        <v>391609.61</v>
      </c>
      <c r="H103" s="173">
        <f t="shared" si="14"/>
        <v>161.87917182068594</v>
      </c>
      <c r="I103" s="179"/>
    </row>
    <row r="104" spans="1:9" ht="22.5" x14ac:dyDescent="0.25">
      <c r="A104" s="6"/>
      <c r="B104" s="6">
        <v>3221</v>
      </c>
      <c r="C104" s="7"/>
      <c r="D104" s="96" t="s">
        <v>130</v>
      </c>
      <c r="E104" s="36">
        <f>23812.86+1052.68+6959.58+0.01+2421.46+260.56+370.6+265.45</f>
        <v>35143.199999999997</v>
      </c>
      <c r="F104" s="36"/>
      <c r="G104" s="36">
        <v>38166.980000000003</v>
      </c>
      <c r="H104" s="173">
        <f t="shared" si="14"/>
        <v>108.60416808941704</v>
      </c>
      <c r="I104" s="179"/>
    </row>
    <row r="105" spans="1:9" x14ac:dyDescent="0.25">
      <c r="A105" s="6"/>
      <c r="B105" s="6">
        <v>3222</v>
      </c>
      <c r="C105" s="7"/>
      <c r="D105" s="96" t="s">
        <v>131</v>
      </c>
      <c r="E105" s="36">
        <f>3650.91+37433.5+10584.99+73397.13</f>
        <v>125066.53</v>
      </c>
      <c r="F105" s="36"/>
      <c r="G105" s="36">
        <v>282310.33</v>
      </c>
      <c r="H105" s="173">
        <f t="shared" si="14"/>
        <v>225.72812246409973</v>
      </c>
      <c r="I105" s="179"/>
    </row>
    <row r="106" spans="1:9" x14ac:dyDescent="0.25">
      <c r="A106" s="6"/>
      <c r="B106" s="6">
        <v>3223</v>
      </c>
      <c r="C106" s="7"/>
      <c r="D106" s="96" t="s">
        <v>132</v>
      </c>
      <c r="E106" s="36">
        <f>74997.05</f>
        <v>74997.05</v>
      </c>
      <c r="F106" s="36"/>
      <c r="G106" s="36">
        <v>63680.01</v>
      </c>
      <c r="H106" s="173">
        <f t="shared" si="14"/>
        <v>84.910019794111903</v>
      </c>
      <c r="I106" s="179"/>
    </row>
    <row r="107" spans="1:9" x14ac:dyDescent="0.25">
      <c r="A107" s="6"/>
      <c r="B107" s="6">
        <v>3224</v>
      </c>
      <c r="C107" s="7"/>
      <c r="D107" s="96" t="s">
        <v>177</v>
      </c>
      <c r="E107" s="36">
        <f>638.34</f>
        <v>638.34</v>
      </c>
      <c r="F107" s="36"/>
      <c r="G107" s="36">
        <v>800</v>
      </c>
      <c r="H107" s="173">
        <f t="shared" si="14"/>
        <v>125.3250618792493</v>
      </c>
      <c r="I107" s="179"/>
    </row>
    <row r="108" spans="1:9" x14ac:dyDescent="0.25">
      <c r="A108" s="6"/>
      <c r="B108" s="6">
        <v>3225</v>
      </c>
      <c r="C108" s="7"/>
      <c r="D108" s="96" t="s">
        <v>133</v>
      </c>
      <c r="E108" s="36">
        <f>3291.51+1512.51+193+123.98</f>
        <v>5121</v>
      </c>
      <c r="F108" s="36"/>
      <c r="G108" s="36">
        <v>5630.79</v>
      </c>
      <c r="H108" s="173">
        <f t="shared" si="14"/>
        <v>109.95489162272993</v>
      </c>
      <c r="I108" s="179"/>
    </row>
    <row r="109" spans="1:9" ht="22.5" x14ac:dyDescent="0.25">
      <c r="A109" s="6"/>
      <c r="B109" s="6">
        <v>3227</v>
      </c>
      <c r="C109" s="7"/>
      <c r="D109" s="96" t="s">
        <v>167</v>
      </c>
      <c r="E109" s="36">
        <f>598.46+350.18</f>
        <v>948.6400000000001</v>
      </c>
      <c r="F109" s="36"/>
      <c r="G109" s="36">
        <v>1021.5</v>
      </c>
      <c r="H109" s="173">
        <f t="shared" si="14"/>
        <v>107.68046888176757</v>
      </c>
      <c r="I109" s="179"/>
    </row>
    <row r="110" spans="1:9" x14ac:dyDescent="0.25">
      <c r="A110" s="6"/>
      <c r="B110" s="15">
        <v>323</v>
      </c>
      <c r="C110" s="7"/>
      <c r="D110" s="96" t="s">
        <v>134</v>
      </c>
      <c r="E110" s="92">
        <f>SUM(E111:E118)</f>
        <v>209426.46</v>
      </c>
      <c r="F110" s="92"/>
      <c r="G110" s="92">
        <f t="shared" ref="G110" si="22">SUM(G111:G118)</f>
        <v>90723.16</v>
      </c>
      <c r="H110" s="173">
        <f t="shared" si="14"/>
        <v>43.319817371692196</v>
      </c>
      <c r="I110" s="179"/>
    </row>
    <row r="111" spans="1:9" x14ac:dyDescent="0.25">
      <c r="A111" s="6"/>
      <c r="B111" s="6">
        <v>3231</v>
      </c>
      <c r="C111" s="7"/>
      <c r="D111" s="96" t="s">
        <v>135</v>
      </c>
      <c r="E111" s="36">
        <f>4567.46+457.31+192.69</f>
        <v>5217.46</v>
      </c>
      <c r="F111" s="36"/>
      <c r="G111" s="36">
        <v>5255.67</v>
      </c>
      <c r="H111" s="173">
        <f t="shared" si="14"/>
        <v>100.73234869074224</v>
      </c>
      <c r="I111" s="179"/>
    </row>
    <row r="112" spans="1:9" ht="22.5" x14ac:dyDescent="0.25">
      <c r="A112" s="6"/>
      <c r="B112" s="6">
        <v>3232</v>
      </c>
      <c r="C112" s="7"/>
      <c r="D112" s="96" t="s">
        <v>136</v>
      </c>
      <c r="E112" s="36">
        <f>11650+1000</f>
        <v>12650</v>
      </c>
      <c r="F112" s="36"/>
      <c r="G112" s="36">
        <v>12743.75</v>
      </c>
      <c r="H112" s="173">
        <f t="shared" si="14"/>
        <v>100.74110671936758</v>
      </c>
      <c r="I112" s="179"/>
    </row>
    <row r="113" spans="1:9" x14ac:dyDescent="0.25">
      <c r="A113" s="6"/>
      <c r="B113" s="6">
        <v>3233</v>
      </c>
      <c r="C113" s="7"/>
      <c r="D113" s="96" t="s">
        <v>137</v>
      </c>
      <c r="E113" s="36">
        <f>746.55</f>
        <v>746.55</v>
      </c>
      <c r="F113" s="36"/>
      <c r="G113" s="36">
        <v>2635.51</v>
      </c>
      <c r="H113" s="173">
        <f t="shared" si="14"/>
        <v>353.02524948094572</v>
      </c>
      <c r="I113" s="179"/>
    </row>
    <row r="114" spans="1:9" x14ac:dyDescent="0.25">
      <c r="A114" s="6"/>
      <c r="B114" s="6">
        <v>3234</v>
      </c>
      <c r="C114" s="7"/>
      <c r="D114" s="96" t="s">
        <v>138</v>
      </c>
      <c r="E114" s="36">
        <f>12679.85+4434.97+191.44</f>
        <v>17306.259999999998</v>
      </c>
      <c r="F114" s="36"/>
      <c r="G114" s="36">
        <v>21408.54</v>
      </c>
      <c r="H114" s="173">
        <f t="shared" si="14"/>
        <v>123.70402386188584</v>
      </c>
      <c r="I114" s="179"/>
    </row>
    <row r="115" spans="1:9" x14ac:dyDescent="0.25">
      <c r="A115" s="6"/>
      <c r="B115" s="6">
        <v>3236</v>
      </c>
      <c r="C115" s="7"/>
      <c r="D115" s="96" t="s">
        <v>148</v>
      </c>
      <c r="E115" s="36">
        <f>352.61</f>
        <v>352.61</v>
      </c>
      <c r="F115" s="36"/>
      <c r="G115" s="36">
        <v>4645.8</v>
      </c>
      <c r="H115" s="173">
        <f t="shared" si="14"/>
        <v>1317.5462976092567</v>
      </c>
      <c r="I115" s="179"/>
    </row>
    <row r="116" spans="1:9" x14ac:dyDescent="0.25">
      <c r="A116" s="6"/>
      <c r="B116" s="6">
        <v>3237</v>
      </c>
      <c r="C116" s="7"/>
      <c r="D116" s="96" t="s">
        <v>139</v>
      </c>
      <c r="E116" s="36">
        <f>4619.84+1210.38</f>
        <v>5830.22</v>
      </c>
      <c r="F116" s="36"/>
      <c r="G116" s="36">
        <v>10140.780000000001</v>
      </c>
      <c r="H116" s="173">
        <f t="shared" si="14"/>
        <v>173.93477433098582</v>
      </c>
      <c r="I116" s="179"/>
    </row>
    <row r="117" spans="1:9" x14ac:dyDescent="0.25">
      <c r="A117" s="6"/>
      <c r="B117" s="6">
        <v>3238</v>
      </c>
      <c r="C117" s="7"/>
      <c r="D117" s="96" t="s">
        <v>140</v>
      </c>
      <c r="E117" s="36">
        <f>4954.27</f>
        <v>4954.2700000000004</v>
      </c>
      <c r="F117" s="36"/>
      <c r="G117" s="36">
        <v>5977.19</v>
      </c>
      <c r="H117" s="173">
        <f t="shared" si="14"/>
        <v>120.64723965387432</v>
      </c>
      <c r="I117" s="179"/>
    </row>
    <row r="118" spans="1:9" x14ac:dyDescent="0.25">
      <c r="A118" s="6"/>
      <c r="B118" s="6">
        <v>3239</v>
      </c>
      <c r="C118" s="7"/>
      <c r="D118" s="96" t="s">
        <v>141</v>
      </c>
      <c r="E118" s="36">
        <f>17359.7+97.22+360.78+229.32+824.76+143286.95+210.36</f>
        <v>162369.09</v>
      </c>
      <c r="F118" s="36"/>
      <c r="G118" s="36">
        <v>27915.919999999998</v>
      </c>
      <c r="H118" s="173">
        <f t="shared" si="14"/>
        <v>17.19287827504607</v>
      </c>
      <c r="I118" s="179"/>
    </row>
    <row r="119" spans="1:9" ht="22.5" x14ac:dyDescent="0.25">
      <c r="A119" s="6"/>
      <c r="B119" s="15">
        <v>324</v>
      </c>
      <c r="C119" s="7"/>
      <c r="D119" s="96" t="s">
        <v>146</v>
      </c>
      <c r="E119" s="92">
        <f>E120</f>
        <v>62.01</v>
      </c>
      <c r="F119" s="92"/>
      <c r="G119" s="92">
        <f t="shared" ref="G119" si="23">G120</f>
        <v>0</v>
      </c>
      <c r="H119" s="173">
        <f t="shared" si="14"/>
        <v>0</v>
      </c>
      <c r="I119" s="179"/>
    </row>
    <row r="120" spans="1:9" ht="22.5" x14ac:dyDescent="0.25">
      <c r="A120" s="6"/>
      <c r="B120" s="6">
        <v>3241</v>
      </c>
      <c r="C120" s="7"/>
      <c r="D120" s="96" t="s">
        <v>146</v>
      </c>
      <c r="E120" s="36">
        <f>62.01</f>
        <v>62.01</v>
      </c>
      <c r="F120" s="36"/>
      <c r="G120" s="36">
        <v>0</v>
      </c>
      <c r="H120" s="173">
        <f t="shared" si="14"/>
        <v>0</v>
      </c>
      <c r="I120" s="179"/>
    </row>
    <row r="121" spans="1:9" ht="22.5" x14ac:dyDescent="0.25">
      <c r="A121" s="6"/>
      <c r="B121" s="15">
        <v>329</v>
      </c>
      <c r="C121" s="7"/>
      <c r="D121" s="96" t="s">
        <v>142</v>
      </c>
      <c r="E121" s="92">
        <f>SUM(E122:E127)</f>
        <v>13386.210000000001</v>
      </c>
      <c r="F121" s="92"/>
      <c r="G121" s="92">
        <f t="shared" ref="G121" si="24">SUM(G122:G127)</f>
        <v>16380.65</v>
      </c>
      <c r="H121" s="173">
        <f t="shared" si="14"/>
        <v>122.36958780715376</v>
      </c>
      <c r="I121" s="179"/>
    </row>
    <row r="122" spans="1:9" ht="22.5" x14ac:dyDescent="0.25">
      <c r="A122" s="6"/>
      <c r="B122" s="6">
        <v>3291</v>
      </c>
      <c r="C122" s="7"/>
      <c r="D122" s="96" t="s">
        <v>225</v>
      </c>
      <c r="E122" s="36">
        <f>121.87+794.72</f>
        <v>916.59</v>
      </c>
      <c r="F122" s="36"/>
      <c r="G122" s="36">
        <v>1074.83</v>
      </c>
      <c r="H122" s="173">
        <f t="shared" si="14"/>
        <v>117.26398935183668</v>
      </c>
      <c r="I122" s="179"/>
    </row>
    <row r="123" spans="1:9" x14ac:dyDescent="0.25">
      <c r="A123" s="6"/>
      <c r="B123" s="6">
        <v>3292</v>
      </c>
      <c r="C123" s="7"/>
      <c r="D123" s="96" t="s">
        <v>143</v>
      </c>
      <c r="E123" s="36">
        <f>3291.53+19.32</f>
        <v>3310.8500000000004</v>
      </c>
      <c r="F123" s="36"/>
      <c r="G123" s="36">
        <v>3460.95</v>
      </c>
      <c r="H123" s="173">
        <f t="shared" si="14"/>
        <v>104.53357899028947</v>
      </c>
      <c r="I123" s="179"/>
    </row>
    <row r="124" spans="1:9" x14ac:dyDescent="0.25">
      <c r="A124" s="6"/>
      <c r="B124" s="6">
        <v>3293</v>
      </c>
      <c r="C124" s="7"/>
      <c r="D124" s="96" t="s">
        <v>144</v>
      </c>
      <c r="E124" s="36">
        <f>111.46+15.83+15.91+40.24+235.28</f>
        <v>418.72</v>
      </c>
      <c r="F124" s="36"/>
      <c r="G124" s="36">
        <v>0</v>
      </c>
      <c r="H124" s="173">
        <f t="shared" si="14"/>
        <v>0</v>
      </c>
      <c r="I124" s="179"/>
    </row>
    <row r="125" spans="1:9" x14ac:dyDescent="0.25">
      <c r="A125" s="6"/>
      <c r="B125" s="6">
        <v>3294</v>
      </c>
      <c r="C125" s="7"/>
      <c r="D125" s="96" t="s">
        <v>145</v>
      </c>
      <c r="E125" s="36">
        <f>106.18</f>
        <v>106.18</v>
      </c>
      <c r="F125" s="36"/>
      <c r="G125" s="36">
        <v>123.09</v>
      </c>
      <c r="H125" s="173">
        <f t="shared" si="14"/>
        <v>115.92578640045205</v>
      </c>
      <c r="I125" s="179"/>
    </row>
    <row r="126" spans="1:9" x14ac:dyDescent="0.25">
      <c r="A126" s="6"/>
      <c r="B126" s="6">
        <v>3295</v>
      </c>
      <c r="C126" s="7"/>
      <c r="D126" s="96" t="s">
        <v>150</v>
      </c>
      <c r="E126" s="36">
        <f>6377.71</f>
        <v>6377.71</v>
      </c>
      <c r="F126" s="36"/>
      <c r="G126" s="36">
        <v>8054.93</v>
      </c>
      <c r="H126" s="173">
        <f t="shared" si="14"/>
        <v>126.29815403961611</v>
      </c>
      <c r="I126" s="179"/>
    </row>
    <row r="127" spans="1:9" ht="22.5" x14ac:dyDescent="0.25">
      <c r="A127" s="6"/>
      <c r="B127" s="6">
        <v>3299</v>
      </c>
      <c r="C127" s="7"/>
      <c r="D127" s="96" t="s">
        <v>142</v>
      </c>
      <c r="E127" s="36">
        <f>1681.29+27+424.95+122.92</f>
        <v>2256.16</v>
      </c>
      <c r="F127" s="36"/>
      <c r="G127" s="36">
        <v>3666.85</v>
      </c>
      <c r="H127" s="173">
        <f t="shared" si="14"/>
        <v>162.52615062761507</v>
      </c>
      <c r="I127" s="179"/>
    </row>
    <row r="128" spans="1:9" x14ac:dyDescent="0.25">
      <c r="A128" s="21"/>
      <c r="B128" s="21">
        <v>34</v>
      </c>
      <c r="C128" s="22"/>
      <c r="D128" s="21" t="s">
        <v>21</v>
      </c>
      <c r="E128" s="39">
        <f>E129</f>
        <v>953.58999999999992</v>
      </c>
      <c r="F128" s="39">
        <f>689.82+30+0.44</f>
        <v>720.2600000000001</v>
      </c>
      <c r="G128" s="39">
        <f t="shared" ref="G128" si="25">G129</f>
        <v>44.48</v>
      </c>
      <c r="H128" s="180">
        <f t="shared" si="14"/>
        <v>4.664478444614562</v>
      </c>
      <c r="I128" s="181">
        <f t="shared" si="15"/>
        <v>6.175547718879292</v>
      </c>
    </row>
    <row r="129" spans="1:9" x14ac:dyDescent="0.25">
      <c r="A129" s="25"/>
      <c r="B129" s="95">
        <v>343</v>
      </c>
      <c r="C129" s="7"/>
      <c r="D129" s="97" t="s">
        <v>151</v>
      </c>
      <c r="E129" s="62">
        <f>E130+E131</f>
        <v>953.58999999999992</v>
      </c>
      <c r="F129" s="62"/>
      <c r="G129" s="62">
        <f t="shared" ref="G129" si="26">G130+G131</f>
        <v>44.48</v>
      </c>
      <c r="H129" s="173">
        <f t="shared" si="14"/>
        <v>4.664478444614562</v>
      </c>
      <c r="I129" s="179"/>
    </row>
    <row r="130" spans="1:9" ht="22.5" x14ac:dyDescent="0.25">
      <c r="A130" s="25"/>
      <c r="B130" s="25">
        <v>3431</v>
      </c>
      <c r="C130" s="7"/>
      <c r="D130" s="96" t="s">
        <v>152</v>
      </c>
      <c r="E130" s="40">
        <f>755+0.03+147.61+12.9</f>
        <v>915.54</v>
      </c>
      <c r="F130" s="40"/>
      <c r="G130" s="40">
        <v>0</v>
      </c>
      <c r="H130" s="173">
        <f t="shared" si="14"/>
        <v>0</v>
      </c>
      <c r="I130" s="179"/>
    </row>
    <row r="131" spans="1:9" x14ac:dyDescent="0.25">
      <c r="A131" s="25"/>
      <c r="B131" s="25">
        <v>3433</v>
      </c>
      <c r="C131" s="7"/>
      <c r="D131" s="97" t="s">
        <v>153</v>
      </c>
      <c r="E131" s="40">
        <f>38.05</f>
        <v>38.049999999999997</v>
      </c>
      <c r="F131" s="40"/>
      <c r="G131" s="40">
        <v>44.48</v>
      </c>
      <c r="H131" s="173">
        <f t="shared" si="14"/>
        <v>116.89881734559791</v>
      </c>
      <c r="I131" s="179"/>
    </row>
    <row r="132" spans="1:9" ht="25.5" x14ac:dyDescent="0.25">
      <c r="A132" s="21"/>
      <c r="B132" s="21">
        <v>37</v>
      </c>
      <c r="C132" s="22"/>
      <c r="D132" s="23" t="s">
        <v>22</v>
      </c>
      <c r="E132" s="39">
        <f>E133</f>
        <v>99816.939999999988</v>
      </c>
      <c r="F132" s="39">
        <f>100+50+52800+67000</f>
        <v>119950</v>
      </c>
      <c r="G132" s="39">
        <f t="shared" ref="G132" si="27">G133</f>
        <v>119102.37000000001</v>
      </c>
      <c r="H132" s="180">
        <f t="shared" si="14"/>
        <v>119.32079865401606</v>
      </c>
      <c r="I132" s="181">
        <f t="shared" si="15"/>
        <v>99.293347228011669</v>
      </c>
    </row>
    <row r="133" spans="1:9" s="91" customFormat="1" ht="22.5" x14ac:dyDescent="0.25">
      <c r="A133" s="89"/>
      <c r="B133" s="15">
        <v>372</v>
      </c>
      <c r="C133" s="7"/>
      <c r="D133" s="96" t="s">
        <v>154</v>
      </c>
      <c r="E133" s="109">
        <f>E134+E135</f>
        <v>99816.939999999988</v>
      </c>
      <c r="F133" s="109"/>
      <c r="G133" s="109">
        <f t="shared" ref="G133" si="28">G134+G135</f>
        <v>119102.37000000001</v>
      </c>
      <c r="H133" s="173">
        <f t="shared" si="14"/>
        <v>119.32079865401606</v>
      </c>
      <c r="I133" s="179"/>
    </row>
    <row r="134" spans="1:9" s="91" customFormat="1" ht="22.5" x14ac:dyDescent="0.25">
      <c r="A134" s="89"/>
      <c r="B134" s="6">
        <v>3721</v>
      </c>
      <c r="C134" s="7"/>
      <c r="D134" s="96" t="s">
        <v>155</v>
      </c>
      <c r="E134" s="108">
        <f>53.1+1390.13</f>
        <v>1443.23</v>
      </c>
      <c r="F134" s="108"/>
      <c r="G134" s="108">
        <v>583.27</v>
      </c>
      <c r="H134" s="173">
        <f t="shared" si="14"/>
        <v>40.414209793310832</v>
      </c>
      <c r="I134" s="179"/>
    </row>
    <row r="135" spans="1:9" s="91" customFormat="1" ht="22.5" x14ac:dyDescent="0.25">
      <c r="A135" s="89"/>
      <c r="B135" s="6">
        <v>3722</v>
      </c>
      <c r="C135" s="7"/>
      <c r="D135" s="96" t="s">
        <v>156</v>
      </c>
      <c r="E135" s="108">
        <f>51704.81+868.39+45800.51</f>
        <v>98373.709999999992</v>
      </c>
      <c r="F135" s="108"/>
      <c r="G135" s="108">
        <v>118519.1</v>
      </c>
      <c r="H135" s="173">
        <f t="shared" si="14"/>
        <v>120.47842863708202</v>
      </c>
      <c r="I135" s="179"/>
    </row>
    <row r="136" spans="1:9" x14ac:dyDescent="0.25">
      <c r="A136" s="21"/>
      <c r="B136" s="21">
        <v>38</v>
      </c>
      <c r="C136" s="22"/>
      <c r="D136" s="23" t="s">
        <v>98</v>
      </c>
      <c r="E136" s="39">
        <f>E137</f>
        <v>2423.9499999999998</v>
      </c>
      <c r="F136" s="39">
        <f>2423.95</f>
        <v>2423.9499999999998</v>
      </c>
      <c r="G136" s="39">
        <f t="shared" ref="G136" si="29">G137</f>
        <v>2423.94</v>
      </c>
      <c r="H136" s="180">
        <f t="shared" si="14"/>
        <v>99.999587450236191</v>
      </c>
      <c r="I136" s="181">
        <f t="shared" si="15"/>
        <v>99.999587450236191</v>
      </c>
    </row>
    <row r="137" spans="1:9" s="91" customFormat="1" x14ac:dyDescent="0.25">
      <c r="A137" s="89"/>
      <c r="B137" s="139">
        <v>3812</v>
      </c>
      <c r="C137" s="138"/>
      <c r="D137" s="97" t="s">
        <v>165</v>
      </c>
      <c r="E137" s="108">
        <f>2423.95</f>
        <v>2423.9499999999998</v>
      </c>
      <c r="F137" s="108"/>
      <c r="G137" s="108">
        <v>2423.94</v>
      </c>
      <c r="H137" s="173">
        <f t="shared" si="14"/>
        <v>99.999587450236191</v>
      </c>
      <c r="I137" s="179" t="e">
        <f t="shared" si="15"/>
        <v>#DIV/0!</v>
      </c>
    </row>
    <row r="138" spans="1:9" ht="25.5" x14ac:dyDescent="0.25">
      <c r="A138" s="28">
        <v>4</v>
      </c>
      <c r="B138" s="29"/>
      <c r="C138" s="29"/>
      <c r="D138" s="30" t="s">
        <v>8</v>
      </c>
      <c r="E138" s="41">
        <f>E139+E148</f>
        <v>78550.100000000006</v>
      </c>
      <c r="F138" s="41">
        <f t="shared" ref="F138:G138" si="30">F139+F148</f>
        <v>148343.63</v>
      </c>
      <c r="G138" s="41">
        <f t="shared" si="30"/>
        <v>135722.18</v>
      </c>
      <c r="H138" s="173">
        <f t="shared" si="14"/>
        <v>172.78422306273319</v>
      </c>
      <c r="I138" s="179">
        <f t="shared" si="15"/>
        <v>91.491747909903509</v>
      </c>
    </row>
    <row r="139" spans="1:9" ht="25.5" x14ac:dyDescent="0.25">
      <c r="A139" s="20"/>
      <c r="B139" s="20">
        <v>42</v>
      </c>
      <c r="C139" s="20"/>
      <c r="D139" s="24" t="s">
        <v>17</v>
      </c>
      <c r="E139" s="39">
        <f>E140+E146</f>
        <v>43747.6</v>
      </c>
      <c r="F139" s="39">
        <f>40800+2080+1800+13000+4105.83+5803.75+1994.05+18760</f>
        <v>88343.63</v>
      </c>
      <c r="G139" s="39">
        <f t="shared" ref="G139" si="31">G140+G146</f>
        <v>76869.679999999993</v>
      </c>
      <c r="H139" s="180">
        <f t="shared" si="14"/>
        <v>175.71176475966681</v>
      </c>
      <c r="I139" s="181">
        <f t="shared" si="15"/>
        <v>87.012136585286328</v>
      </c>
    </row>
    <row r="140" spans="1:9" s="91" customFormat="1" x14ac:dyDescent="0.25">
      <c r="A140" s="94"/>
      <c r="B140" s="5">
        <v>422</v>
      </c>
      <c r="C140" s="7"/>
      <c r="D140" s="97" t="s">
        <v>157</v>
      </c>
      <c r="E140" s="109">
        <f t="shared" ref="E140:F140" si="32">SUM(E141:E145)</f>
        <v>39542.519999999997</v>
      </c>
      <c r="F140" s="109">
        <f t="shared" si="32"/>
        <v>0</v>
      </c>
      <c r="G140" s="109">
        <f>SUM(G141:G145)</f>
        <v>58037.54</v>
      </c>
      <c r="H140" s="173">
        <f t="shared" si="14"/>
        <v>146.77248693305333</v>
      </c>
      <c r="I140" s="179"/>
    </row>
    <row r="141" spans="1:9" s="91" customFormat="1" x14ac:dyDescent="0.25">
      <c r="A141" s="94"/>
      <c r="B141" s="8">
        <v>4221</v>
      </c>
      <c r="C141" s="7"/>
      <c r="D141" s="97" t="s">
        <v>158</v>
      </c>
      <c r="E141" s="108">
        <f>10278.8+1388+2151.07+2723.93</f>
        <v>16541.8</v>
      </c>
      <c r="F141" s="90"/>
      <c r="G141" s="108">
        <v>20532.29</v>
      </c>
      <c r="H141" s="173">
        <f t="shared" si="14"/>
        <v>124.12367456987754</v>
      </c>
      <c r="I141" s="179"/>
    </row>
    <row r="142" spans="1:9" s="91" customFormat="1" x14ac:dyDescent="0.25">
      <c r="A142" s="94"/>
      <c r="B142" s="8">
        <v>4223</v>
      </c>
      <c r="C142" s="7"/>
      <c r="D142" s="98" t="s">
        <v>160</v>
      </c>
      <c r="E142" s="108">
        <f>1287.75+800</f>
        <v>2087.75</v>
      </c>
      <c r="F142" s="90"/>
      <c r="G142" s="108">
        <v>30294.82</v>
      </c>
      <c r="H142" s="173">
        <f t="shared" si="14"/>
        <v>1451.0750808286434</v>
      </c>
      <c r="I142" s="179"/>
    </row>
    <row r="143" spans="1:9" s="91" customFormat="1" x14ac:dyDescent="0.25">
      <c r="A143" s="94"/>
      <c r="B143" s="8">
        <v>4225</v>
      </c>
      <c r="C143" s="7"/>
      <c r="D143" s="98" t="s">
        <v>240</v>
      </c>
      <c r="E143" s="108"/>
      <c r="F143" s="90"/>
      <c r="G143" s="108">
        <v>1994.05</v>
      </c>
      <c r="H143" s="173"/>
      <c r="I143" s="179"/>
    </row>
    <row r="144" spans="1:9" s="91" customFormat="1" x14ac:dyDescent="0.25">
      <c r="A144" s="94"/>
      <c r="B144" s="8">
        <v>4226</v>
      </c>
      <c r="C144" s="7"/>
      <c r="D144" s="98" t="s">
        <v>241</v>
      </c>
      <c r="E144" s="108"/>
      <c r="F144" s="90"/>
      <c r="G144" s="108">
        <v>357.5</v>
      </c>
      <c r="H144" s="173"/>
      <c r="I144" s="179"/>
    </row>
    <row r="145" spans="1:9" s="91" customFormat="1" ht="22.5" x14ac:dyDescent="0.25">
      <c r="A145" s="94"/>
      <c r="B145" s="8">
        <v>4227</v>
      </c>
      <c r="C145" s="7"/>
      <c r="D145" s="96" t="s">
        <v>159</v>
      </c>
      <c r="E145" s="108">
        <f>5629.19+11100.25+3285+898.53</f>
        <v>20912.969999999998</v>
      </c>
      <c r="F145" s="90"/>
      <c r="G145" s="108">
        <v>4858.88</v>
      </c>
      <c r="H145" s="173">
        <f t="shared" si="14"/>
        <v>23.233811362039923</v>
      </c>
      <c r="I145" s="179"/>
    </row>
    <row r="146" spans="1:9" s="91" customFormat="1" ht="22.5" x14ac:dyDescent="0.25">
      <c r="A146" s="94"/>
      <c r="B146" s="5">
        <v>424</v>
      </c>
      <c r="C146" s="7"/>
      <c r="D146" s="96" t="s">
        <v>161</v>
      </c>
      <c r="E146" s="109">
        <f>E147</f>
        <v>4205.08</v>
      </c>
      <c r="F146" s="109">
        <f t="shared" ref="F146:G146" si="33">F147</f>
        <v>0</v>
      </c>
      <c r="G146" s="109">
        <f t="shared" si="33"/>
        <v>18832.14</v>
      </c>
      <c r="H146" s="173">
        <f t="shared" si="14"/>
        <v>447.84260941527867</v>
      </c>
      <c r="I146" s="179"/>
    </row>
    <row r="147" spans="1:9" s="91" customFormat="1" x14ac:dyDescent="0.25">
      <c r="A147" s="94"/>
      <c r="B147" s="8">
        <v>4241</v>
      </c>
      <c r="C147" s="7"/>
      <c r="D147" s="97" t="s">
        <v>162</v>
      </c>
      <c r="E147" s="108">
        <f>398.17+69.3+3737.61</f>
        <v>4205.08</v>
      </c>
      <c r="F147" s="90"/>
      <c r="G147" s="108">
        <v>18832.14</v>
      </c>
      <c r="H147" s="173">
        <f t="shared" si="14"/>
        <v>447.84260941527867</v>
      </c>
      <c r="I147" s="179"/>
    </row>
    <row r="148" spans="1:9" ht="25.5" x14ac:dyDescent="0.25">
      <c r="A148" s="20"/>
      <c r="B148" s="20">
        <v>45</v>
      </c>
      <c r="C148" s="20"/>
      <c r="D148" s="24" t="s">
        <v>23</v>
      </c>
      <c r="E148" s="39">
        <f>E149+E151</f>
        <v>34802.5</v>
      </c>
      <c r="F148" s="39">
        <f>60000</f>
        <v>60000</v>
      </c>
      <c r="G148" s="39">
        <f t="shared" ref="G148" si="34">G149+G151</f>
        <v>58852.5</v>
      </c>
      <c r="H148" s="180">
        <f t="shared" si="14"/>
        <v>169.10423101788666</v>
      </c>
      <c r="I148" s="181">
        <f t="shared" si="15"/>
        <v>98.087500000000006</v>
      </c>
    </row>
    <row r="149" spans="1:9" ht="22.5" x14ac:dyDescent="0.25">
      <c r="A149" s="8"/>
      <c r="B149" s="5">
        <v>451</v>
      </c>
      <c r="C149" s="7"/>
      <c r="D149" s="96" t="s">
        <v>163</v>
      </c>
      <c r="E149" s="92">
        <f>E150</f>
        <v>34802.5</v>
      </c>
      <c r="F149" s="92">
        <f t="shared" ref="F149:G149" si="35">F150</f>
        <v>0</v>
      </c>
      <c r="G149" s="92">
        <f t="shared" si="35"/>
        <v>32950</v>
      </c>
      <c r="H149" s="173">
        <f t="shared" si="14"/>
        <v>94.677106529703323</v>
      </c>
      <c r="I149" s="179"/>
    </row>
    <row r="150" spans="1:9" ht="22.5" x14ac:dyDescent="0.25">
      <c r="A150" s="8"/>
      <c r="B150" s="8">
        <v>4511</v>
      </c>
      <c r="C150" s="7"/>
      <c r="D150" s="96" t="s">
        <v>163</v>
      </c>
      <c r="E150" s="36">
        <f>34802.5</f>
        <v>34802.5</v>
      </c>
      <c r="F150" s="36"/>
      <c r="G150" s="36">
        <v>32950</v>
      </c>
      <c r="H150" s="173">
        <f t="shared" si="14"/>
        <v>94.677106529703323</v>
      </c>
      <c r="I150" s="179"/>
    </row>
    <row r="151" spans="1:9" ht="22.5" x14ac:dyDescent="0.25">
      <c r="A151" s="8"/>
      <c r="B151" s="5">
        <v>452</v>
      </c>
      <c r="C151" s="7"/>
      <c r="D151" s="96" t="s">
        <v>242</v>
      </c>
      <c r="E151" s="92">
        <f>E152</f>
        <v>0</v>
      </c>
      <c r="F151" s="92">
        <f t="shared" ref="F151:G151" si="36">F152</f>
        <v>0</v>
      </c>
      <c r="G151" s="92">
        <f t="shared" si="36"/>
        <v>25902.5</v>
      </c>
      <c r="H151" s="173" t="e">
        <f t="shared" ref="H151" si="37">(G151/E151)*100</f>
        <v>#DIV/0!</v>
      </c>
      <c r="I151" s="179"/>
    </row>
    <row r="152" spans="1:9" ht="22.5" x14ac:dyDescent="0.25">
      <c r="A152" s="8"/>
      <c r="B152" s="8">
        <v>4521</v>
      </c>
      <c r="C152" s="7"/>
      <c r="D152" s="96" t="s">
        <v>242</v>
      </c>
      <c r="E152" s="36"/>
      <c r="F152" s="36"/>
      <c r="G152" s="36">
        <v>25902.5</v>
      </c>
      <c r="H152" s="173" t="e">
        <f t="shared" ref="H152" si="38">(G152/E152)*100</f>
        <v>#DIV/0!</v>
      </c>
      <c r="I152" s="179"/>
    </row>
  </sheetData>
  <mergeCells count="15">
    <mergeCell ref="A86:D86"/>
    <mergeCell ref="A1:H1"/>
    <mergeCell ref="A10:D10"/>
    <mergeCell ref="A59:D59"/>
    <mergeCell ref="A87:D87"/>
    <mergeCell ref="A7:H7"/>
    <mergeCell ref="A84:H84"/>
    <mergeCell ref="A3:H3"/>
    <mergeCell ref="A5:H5"/>
    <mergeCell ref="A56:H56"/>
    <mergeCell ref="A70:H70"/>
    <mergeCell ref="A73:D73"/>
    <mergeCell ref="A9:D9"/>
    <mergeCell ref="A58:D58"/>
    <mergeCell ref="A72:D72"/>
  </mergeCells>
  <pageMargins left="0.23622047244094491" right="0.23622047244094491" top="0.74803149606299213" bottom="0.74803149606299213" header="0.31496062992125984" footer="0.31496062992125984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="140" zoomScaleNormal="140" workbookViewId="0">
      <selection activeCell="F32" sqref="F3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7.5703125" customWidth="1"/>
    <col min="4" max="4" width="24.28515625" customWidth="1"/>
    <col min="5" max="7" width="25.28515625" customWidth="1"/>
    <col min="8" max="8" width="12.85546875" customWidth="1"/>
  </cols>
  <sheetData>
    <row r="1" spans="1:8" ht="42" customHeight="1" x14ac:dyDescent="0.25">
      <c r="A1" s="228" t="s">
        <v>229</v>
      </c>
      <c r="B1" s="228"/>
      <c r="C1" s="228"/>
      <c r="D1" s="228"/>
      <c r="E1" s="228"/>
      <c r="F1" s="228"/>
      <c r="G1" s="228"/>
      <c r="H1" s="228"/>
    </row>
    <row r="2" spans="1:8" ht="18" customHeight="1" x14ac:dyDescent="0.25">
      <c r="A2" s="14"/>
      <c r="B2" s="14"/>
      <c r="C2" s="14"/>
      <c r="D2" s="14"/>
      <c r="E2" s="14"/>
      <c r="F2" s="14"/>
      <c r="G2" s="14"/>
    </row>
    <row r="3" spans="1:8" ht="15.75" x14ac:dyDescent="0.25">
      <c r="A3" s="235" t="s">
        <v>13</v>
      </c>
      <c r="B3" s="235"/>
      <c r="C3" s="235"/>
      <c r="D3" s="235"/>
      <c r="E3" s="235"/>
      <c r="F3" s="235"/>
      <c r="G3" s="237"/>
    </row>
    <row r="4" spans="1:8" ht="18" x14ac:dyDescent="0.25">
      <c r="A4" s="14"/>
      <c r="B4" s="14"/>
      <c r="C4" s="14"/>
      <c r="D4" s="14"/>
      <c r="E4" s="14"/>
      <c r="F4" s="14"/>
      <c r="G4" s="3"/>
    </row>
    <row r="5" spans="1:8" ht="18" customHeight="1" x14ac:dyDescent="0.25">
      <c r="A5" s="235" t="s">
        <v>218</v>
      </c>
      <c r="B5" s="238"/>
      <c r="C5" s="238"/>
      <c r="D5" s="238"/>
      <c r="E5" s="238"/>
      <c r="F5" s="238"/>
      <c r="G5" s="238"/>
    </row>
    <row r="6" spans="1:8" ht="18" x14ac:dyDescent="0.25">
      <c r="A6" s="14"/>
      <c r="B6" s="14"/>
      <c r="C6" s="14"/>
      <c r="D6" s="14"/>
      <c r="E6" s="14"/>
      <c r="F6" s="14"/>
      <c r="G6" s="3"/>
    </row>
    <row r="7" spans="1:8" ht="15.75" x14ac:dyDescent="0.25">
      <c r="A7" s="235" t="s">
        <v>181</v>
      </c>
      <c r="B7" s="236"/>
      <c r="C7" s="236"/>
      <c r="D7" s="236"/>
      <c r="E7" s="236"/>
      <c r="F7" s="236"/>
      <c r="G7" s="236"/>
    </row>
    <row r="8" spans="1:8" ht="18" x14ac:dyDescent="0.25">
      <c r="A8" s="14"/>
      <c r="B8" s="14"/>
      <c r="C8" s="14"/>
      <c r="D8" s="14"/>
      <c r="E8" s="42"/>
      <c r="F8" s="42"/>
      <c r="G8" s="42"/>
      <c r="H8" s="31"/>
    </row>
    <row r="9" spans="1:8" ht="25.5" x14ac:dyDescent="0.25">
      <c r="A9" s="225" t="s">
        <v>10</v>
      </c>
      <c r="B9" s="226"/>
      <c r="C9" s="227"/>
      <c r="D9" s="162" t="s">
        <v>233</v>
      </c>
      <c r="E9" s="13" t="s">
        <v>215</v>
      </c>
      <c r="F9" s="162" t="s">
        <v>230</v>
      </c>
      <c r="G9" s="13" t="s">
        <v>197</v>
      </c>
      <c r="H9" s="13" t="s">
        <v>198</v>
      </c>
    </row>
    <row r="10" spans="1:8" x14ac:dyDescent="0.25">
      <c r="A10" s="229">
        <v>1</v>
      </c>
      <c r="B10" s="230"/>
      <c r="C10" s="231"/>
      <c r="D10" s="165">
        <v>2</v>
      </c>
      <c r="E10" s="81">
        <v>3</v>
      </c>
      <c r="F10" s="165">
        <v>4</v>
      </c>
      <c r="G10" s="164" t="s">
        <v>216</v>
      </c>
      <c r="H10" s="164" t="s">
        <v>217</v>
      </c>
    </row>
    <row r="11" spans="1:8" s="141" customFormat="1" ht="25.5" customHeight="1" x14ac:dyDescent="0.25">
      <c r="A11" s="242" t="s">
        <v>221</v>
      </c>
      <c r="B11" s="243"/>
      <c r="C11" s="244"/>
      <c r="D11" s="140">
        <f>SUM(D12:D18)</f>
        <v>3375169.61</v>
      </c>
      <c r="E11" s="140">
        <f>SUM(E12:E18)</f>
        <v>4308925.2799999993</v>
      </c>
      <c r="F11" s="140">
        <f>SUM(F12:F18)</f>
        <v>4204660.03</v>
      </c>
      <c r="G11" s="140">
        <f>F11/D11*100</f>
        <v>124.57625885058856</v>
      </c>
      <c r="H11" s="140">
        <f>F11/E11*100</f>
        <v>97.580249291303574</v>
      </c>
    </row>
    <row r="12" spans="1:8" x14ac:dyDescent="0.25">
      <c r="A12" s="239" t="s">
        <v>182</v>
      </c>
      <c r="B12" s="240"/>
      <c r="C12" s="241"/>
      <c r="D12" s="36">
        <v>432579.89</v>
      </c>
      <c r="E12" s="36">
        <f>' Račun prihoda i rashoda'!F47</f>
        <v>650704.10000000009</v>
      </c>
      <c r="F12" s="36">
        <f>' Račun prihoda i rashoda'!G47</f>
        <v>607107.69999999995</v>
      </c>
      <c r="G12" s="140">
        <f t="shared" ref="G12:G18" si="0">F12/D12*100</f>
        <v>140.34579832178514</v>
      </c>
      <c r="H12" s="140">
        <f t="shared" ref="H12:H18" si="1">F12/E12*100</f>
        <v>93.300119055650626</v>
      </c>
    </row>
    <row r="13" spans="1:8" x14ac:dyDescent="0.25">
      <c r="A13" s="239" t="s">
        <v>183</v>
      </c>
      <c r="B13" s="240"/>
      <c r="C13" s="241"/>
      <c r="D13" s="36">
        <v>3206.44</v>
      </c>
      <c r="E13" s="36">
        <f>' Račun prihoda i rashoda'!F38+' Račun prihoda i rashoda'!F52</f>
        <v>3995</v>
      </c>
      <c r="F13" s="36">
        <f>' Račun prihoda i rashoda'!G38+' Račun prihoda i rashoda'!G52</f>
        <v>4923.24</v>
      </c>
      <c r="G13" s="140">
        <f t="shared" si="0"/>
        <v>153.54224622946319</v>
      </c>
      <c r="H13" s="140">
        <f t="shared" si="1"/>
        <v>123.23504380475595</v>
      </c>
    </row>
    <row r="14" spans="1:8" x14ac:dyDescent="0.25">
      <c r="A14" s="239" t="s">
        <v>184</v>
      </c>
      <c r="B14" s="240"/>
      <c r="C14" s="241"/>
      <c r="D14" s="36">
        <v>74263.25</v>
      </c>
      <c r="E14" s="36">
        <f>' Račun prihoda i rashoda'!F34</f>
        <v>90440</v>
      </c>
      <c r="F14" s="36">
        <f>' Račun prihoda i rashoda'!G34</f>
        <v>82950.42</v>
      </c>
      <c r="G14" s="140">
        <f t="shared" si="0"/>
        <v>111.69780476884597</v>
      </c>
      <c r="H14" s="140">
        <f t="shared" si="1"/>
        <v>91.718730650154797</v>
      </c>
    </row>
    <row r="15" spans="1:8" x14ac:dyDescent="0.25">
      <c r="A15" s="239" t="s">
        <v>193</v>
      </c>
      <c r="B15" s="240"/>
      <c r="C15" s="241"/>
      <c r="D15" s="36">
        <v>20273.16</v>
      </c>
      <c r="E15" s="36">
        <v>0</v>
      </c>
      <c r="F15" s="36">
        <f>' Račun prihoda i rashoda'!G14</f>
        <v>0</v>
      </c>
      <c r="G15" s="140">
        <f t="shared" si="0"/>
        <v>0</v>
      </c>
      <c r="H15" s="140" t="e">
        <f t="shared" si="1"/>
        <v>#DIV/0!</v>
      </c>
    </row>
    <row r="16" spans="1:8" x14ac:dyDescent="0.25">
      <c r="A16" s="239" t="s">
        <v>185</v>
      </c>
      <c r="B16" s="240"/>
      <c r="C16" s="241"/>
      <c r="D16" s="36">
        <v>99581.47</v>
      </c>
      <c r="E16" s="36">
        <f>' Račun prihoda i rashoda'!F23</f>
        <v>81486.749999999985</v>
      </c>
      <c r="F16" s="36">
        <f>' Račun prihoda i rashoda'!G23</f>
        <v>79807</v>
      </c>
      <c r="G16" s="140">
        <f t="shared" si="0"/>
        <v>80.142420070721982</v>
      </c>
      <c r="H16" s="140">
        <f t="shared" si="1"/>
        <v>97.938621923196123</v>
      </c>
    </row>
    <row r="17" spans="1:8" x14ac:dyDescent="0.25">
      <c r="A17" s="239" t="s">
        <v>186</v>
      </c>
      <c r="B17" s="240"/>
      <c r="C17" s="241"/>
      <c r="D17" s="36">
        <v>2742022.26</v>
      </c>
      <c r="E17" s="36">
        <f>' Račun prihoda i rashoda'!F17</f>
        <v>3476115.6799999997</v>
      </c>
      <c r="F17" s="36">
        <f>' Račun prihoda i rashoda'!G17</f>
        <v>3423087.92</v>
      </c>
      <c r="G17" s="140">
        <f t="shared" si="0"/>
        <v>124.83807917737329</v>
      </c>
      <c r="H17" s="140">
        <f t="shared" si="1"/>
        <v>98.474511066904441</v>
      </c>
    </row>
    <row r="18" spans="1:8" x14ac:dyDescent="0.25">
      <c r="A18" s="239" t="s">
        <v>187</v>
      </c>
      <c r="B18" s="240"/>
      <c r="C18" s="241"/>
      <c r="D18" s="36">
        <v>3243.14</v>
      </c>
      <c r="E18" s="36">
        <f>' Račun prihoda i rashoda'!F42</f>
        <v>6183.75</v>
      </c>
      <c r="F18" s="36">
        <f>' Račun prihoda i rashoda'!G42</f>
        <v>6783.75</v>
      </c>
      <c r="G18" s="140">
        <f t="shared" si="0"/>
        <v>209.17228365102955</v>
      </c>
      <c r="H18" s="140">
        <f t="shared" si="1"/>
        <v>109.70285021224986</v>
      </c>
    </row>
    <row r="21" spans="1:8" ht="15.75" x14ac:dyDescent="0.25">
      <c r="A21" s="235" t="s">
        <v>188</v>
      </c>
      <c r="B21" s="236"/>
      <c r="C21" s="236"/>
      <c r="D21" s="236"/>
      <c r="E21" s="236"/>
      <c r="F21" s="236"/>
      <c r="G21" s="236"/>
    </row>
    <row r="22" spans="1:8" ht="18" x14ac:dyDescent="0.25">
      <c r="A22" s="14"/>
      <c r="B22" s="14"/>
      <c r="C22" s="14"/>
      <c r="D22" s="14"/>
      <c r="E22" s="42"/>
      <c r="F22" s="42"/>
      <c r="G22" s="42"/>
      <c r="H22" s="31"/>
    </row>
    <row r="23" spans="1:8" ht="25.5" x14ac:dyDescent="0.25">
      <c r="A23" s="225" t="s">
        <v>10</v>
      </c>
      <c r="B23" s="226"/>
      <c r="C23" s="227"/>
      <c r="D23" s="162" t="s">
        <v>233</v>
      </c>
      <c r="E23" s="13" t="s">
        <v>215</v>
      </c>
      <c r="F23" s="162" t="s">
        <v>230</v>
      </c>
      <c r="G23" s="13" t="s">
        <v>197</v>
      </c>
      <c r="H23" s="13" t="s">
        <v>198</v>
      </c>
    </row>
    <row r="24" spans="1:8" x14ac:dyDescent="0.25">
      <c r="A24" s="229">
        <v>1</v>
      </c>
      <c r="B24" s="230"/>
      <c r="C24" s="231"/>
      <c r="D24" s="165">
        <v>2</v>
      </c>
      <c r="E24" s="81">
        <v>3</v>
      </c>
      <c r="F24" s="165">
        <v>4</v>
      </c>
      <c r="G24" s="164" t="s">
        <v>216</v>
      </c>
      <c r="H24" s="164" t="s">
        <v>217</v>
      </c>
    </row>
    <row r="25" spans="1:8" ht="15.75" customHeight="1" x14ac:dyDescent="0.25">
      <c r="A25" s="248" t="s">
        <v>222</v>
      </c>
      <c r="B25" s="249"/>
      <c r="C25" s="250"/>
      <c r="D25" s="41">
        <f t="shared" ref="D25" si="2">SUM(D26:D38)</f>
        <v>3382423.5700000003</v>
      </c>
      <c r="E25" s="41">
        <f>SUM(E26:E38)</f>
        <v>4323070.46</v>
      </c>
      <c r="F25" s="41">
        <f>SUM(F26:F38)</f>
        <v>4243900.2</v>
      </c>
      <c r="G25" s="140">
        <f>F25/D25*100</f>
        <v>125.46921200646671</v>
      </c>
      <c r="H25" s="140">
        <f>F25/E25*100</f>
        <v>98.1686567283014</v>
      </c>
    </row>
    <row r="26" spans="1:8" s="142" customFormat="1" ht="15.75" customHeight="1" x14ac:dyDescent="0.25">
      <c r="A26" s="239" t="s">
        <v>182</v>
      </c>
      <c r="B26" s="240"/>
      <c r="C26" s="241"/>
      <c r="D26" s="40">
        <v>448446.36</v>
      </c>
      <c r="E26" s="40">
        <f>178361.35+689.82+40800+60000+70+170900+67000+4050+76038.65+39500</f>
        <v>637409.82000000007</v>
      </c>
      <c r="F26" s="40">
        <f>170562.81+41.06+40794.75+58852.5+70+170768.96+66764.13+4048.77+76038.65+33055.16</f>
        <v>620996.79</v>
      </c>
      <c r="G26" s="140">
        <f t="shared" ref="G26:G38" si="3">F26/D26*100</f>
        <v>138.4773844524014</v>
      </c>
      <c r="H26" s="140">
        <f t="shared" ref="H26:H38" si="4">F26/E26*100</f>
        <v>97.425042808408563</v>
      </c>
    </row>
    <row r="27" spans="1:8" s="141" customFormat="1" x14ac:dyDescent="0.25">
      <c r="A27" s="239" t="s">
        <v>183</v>
      </c>
      <c r="B27" s="240"/>
      <c r="C27" s="241"/>
      <c r="D27" s="36">
        <v>97.25</v>
      </c>
      <c r="E27" s="36">
        <f>1885+30+2080</f>
        <v>3995</v>
      </c>
      <c r="F27" s="36">
        <f>748.27+2.98</f>
        <v>751.25</v>
      </c>
      <c r="G27" s="140">
        <f t="shared" si="3"/>
        <v>772.4935732647815</v>
      </c>
      <c r="H27" s="140">
        <f t="shared" si="4"/>
        <v>18.804755944931166</v>
      </c>
    </row>
    <row r="28" spans="1:8" s="141" customFormat="1" x14ac:dyDescent="0.25">
      <c r="A28" s="239" t="s">
        <v>189</v>
      </c>
      <c r="B28" s="240"/>
      <c r="C28" s="241"/>
      <c r="D28" s="36">
        <v>3511.45</v>
      </c>
      <c r="E28" s="36">
        <f>1308.75+0.44+1800</f>
        <v>3109.19</v>
      </c>
      <c r="F28" s="36">
        <f>1308.75+0.44+1800</f>
        <v>3109.19</v>
      </c>
      <c r="G28" s="140">
        <f t="shared" si="3"/>
        <v>88.544333537427562</v>
      </c>
      <c r="H28" s="140">
        <f t="shared" si="4"/>
        <v>100</v>
      </c>
    </row>
    <row r="29" spans="1:8" s="141" customFormat="1" x14ac:dyDescent="0.25">
      <c r="A29" s="239" t="s">
        <v>184</v>
      </c>
      <c r="B29" s="240"/>
      <c r="C29" s="241"/>
      <c r="D29" s="36">
        <v>68457.42</v>
      </c>
      <c r="E29" s="36">
        <f>77440+13000</f>
        <v>90440</v>
      </c>
      <c r="F29" s="36">
        <f>67507.01+4039.1</f>
        <v>71546.11</v>
      </c>
      <c r="G29" s="140">
        <f t="shared" si="3"/>
        <v>104.51184108311415</v>
      </c>
      <c r="H29" s="140">
        <f t="shared" si="4"/>
        <v>79.108923042901367</v>
      </c>
    </row>
    <row r="30" spans="1:8" s="141" customFormat="1" x14ac:dyDescent="0.25">
      <c r="A30" s="245" t="s">
        <v>190</v>
      </c>
      <c r="B30" s="246"/>
      <c r="C30" s="247"/>
      <c r="D30" s="36">
        <v>7038.04</v>
      </c>
      <c r="E30" s="36">
        <f>1700+4105.83</f>
        <v>5805.83</v>
      </c>
      <c r="F30" s="36">
        <f>1700+4105.83</f>
        <v>5805.83</v>
      </c>
      <c r="G30" s="140">
        <f t="shared" si="3"/>
        <v>82.492142698819563</v>
      </c>
      <c r="H30" s="140">
        <f t="shared" si="4"/>
        <v>100</v>
      </c>
    </row>
    <row r="31" spans="1:8" s="141" customFormat="1" x14ac:dyDescent="0.25">
      <c r="A31" s="239" t="s">
        <v>193</v>
      </c>
      <c r="B31" s="240"/>
      <c r="C31" s="241"/>
      <c r="D31" s="36">
        <v>2919.46</v>
      </c>
      <c r="E31" s="36">
        <v>0</v>
      </c>
      <c r="F31" s="36">
        <v>0</v>
      </c>
      <c r="G31" s="140">
        <f t="shared" si="3"/>
        <v>0</v>
      </c>
      <c r="H31" s="140" t="e">
        <f t="shared" si="4"/>
        <v>#DIV/0!</v>
      </c>
    </row>
    <row r="32" spans="1:8" s="141" customFormat="1" x14ac:dyDescent="0.25">
      <c r="A32" s="239" t="s">
        <v>191</v>
      </c>
      <c r="B32" s="240"/>
      <c r="C32" s="241"/>
      <c r="D32" s="36">
        <v>12664.29</v>
      </c>
      <c r="E32" s="36">
        <v>17353.7</v>
      </c>
      <c r="F32" s="36">
        <f>17353.7</f>
        <v>17353.7</v>
      </c>
      <c r="G32" s="140">
        <f t="shared" si="3"/>
        <v>137.0286056304775</v>
      </c>
      <c r="H32" s="140">
        <f t="shared" si="4"/>
        <v>100</v>
      </c>
    </row>
    <row r="33" spans="1:8" s="141" customFormat="1" x14ac:dyDescent="0.25">
      <c r="A33" s="239" t="s">
        <v>185</v>
      </c>
      <c r="B33" s="240"/>
      <c r="C33" s="241"/>
      <c r="D33" s="36">
        <v>95793.12</v>
      </c>
      <c r="E33" s="36">
        <f>4952.91+1994.05+6300+62793.06</f>
        <v>76040.01999999999</v>
      </c>
      <c r="F33" s="36">
        <f>3818.14+1994.05+6259.73+62793.06</f>
        <v>74864.98</v>
      </c>
      <c r="G33" s="140">
        <f t="shared" si="3"/>
        <v>78.152773393329284</v>
      </c>
      <c r="H33" s="140">
        <f t="shared" si="4"/>
        <v>98.454708454837345</v>
      </c>
    </row>
    <row r="34" spans="1:8" s="141" customFormat="1" x14ac:dyDescent="0.25">
      <c r="A34" s="239" t="s">
        <v>246</v>
      </c>
      <c r="B34" s="240"/>
      <c r="C34" s="241"/>
      <c r="D34" s="36"/>
      <c r="E34" s="36">
        <f>4718.59</f>
        <v>4718.59</v>
      </c>
      <c r="F34" s="36">
        <f>4718.59</f>
        <v>4718.59</v>
      </c>
      <c r="G34" s="140" t="e">
        <f t="shared" si="3"/>
        <v>#DIV/0!</v>
      </c>
      <c r="H34" s="140">
        <f t="shared" si="4"/>
        <v>100</v>
      </c>
    </row>
    <row r="35" spans="1:8" s="141" customFormat="1" x14ac:dyDescent="0.25">
      <c r="A35" s="239" t="s">
        <v>186</v>
      </c>
      <c r="B35" s="240"/>
      <c r="C35" s="241"/>
      <c r="D35" s="36">
        <v>2739688</v>
      </c>
      <c r="E35" s="36">
        <f>3147927.78+298346.75+18760+11081.15</f>
        <v>3476115.6799999997</v>
      </c>
      <c r="F35" s="36">
        <f>3117521.66+289806.96+18332.2+11081.15</f>
        <v>3436741.97</v>
      </c>
      <c r="G35" s="140">
        <f t="shared" si="3"/>
        <v>125.44282305138397</v>
      </c>
      <c r="H35" s="140">
        <f t="shared" si="4"/>
        <v>98.867307258313119</v>
      </c>
    </row>
    <row r="36" spans="1:8" s="141" customFormat="1" x14ac:dyDescent="0.25">
      <c r="A36" s="239" t="s">
        <v>194</v>
      </c>
      <c r="B36" s="240"/>
      <c r="C36" s="241"/>
      <c r="D36" s="36">
        <v>663.61</v>
      </c>
      <c r="E36" s="36">
        <f>1587.95</f>
        <v>1587.95</v>
      </c>
      <c r="F36" s="36">
        <f>1587.95</f>
        <v>1587.95</v>
      </c>
      <c r="G36" s="140">
        <f t="shared" si="3"/>
        <v>239.2896430132156</v>
      </c>
      <c r="H36" s="140">
        <f t="shared" si="4"/>
        <v>100</v>
      </c>
    </row>
    <row r="37" spans="1:8" s="141" customFormat="1" x14ac:dyDescent="0.25">
      <c r="A37" s="239" t="s">
        <v>187</v>
      </c>
      <c r="B37" s="240"/>
      <c r="C37" s="241"/>
      <c r="D37" s="36">
        <v>2879.12</v>
      </c>
      <c r="E37" s="36">
        <f>380+5803.75</f>
        <v>6183.75</v>
      </c>
      <c r="F37" s="36">
        <f>309.16+5803.75</f>
        <v>6112.91</v>
      </c>
      <c r="G37" s="140">
        <f t="shared" si="3"/>
        <v>212.31869460112813</v>
      </c>
      <c r="H37" s="140">
        <f t="shared" si="4"/>
        <v>98.854416818273691</v>
      </c>
    </row>
    <row r="38" spans="1:8" s="141" customFormat="1" x14ac:dyDescent="0.25">
      <c r="A38" s="239" t="s">
        <v>192</v>
      </c>
      <c r="B38" s="240"/>
      <c r="C38" s="241"/>
      <c r="D38" s="36">
        <v>265.45</v>
      </c>
      <c r="E38" s="36">
        <v>310.93</v>
      </c>
      <c r="F38" s="36">
        <f>310.93</f>
        <v>310.93</v>
      </c>
      <c r="G38" s="140">
        <f t="shared" si="3"/>
        <v>117.13317008852893</v>
      </c>
      <c r="H38" s="140">
        <f t="shared" si="4"/>
        <v>100</v>
      </c>
    </row>
  </sheetData>
  <mergeCells count="31">
    <mergeCell ref="A36:C36"/>
    <mergeCell ref="A37:C37"/>
    <mergeCell ref="A38:C38"/>
    <mergeCell ref="A15:C15"/>
    <mergeCell ref="A31:C31"/>
    <mergeCell ref="A29:C29"/>
    <mergeCell ref="A30:C30"/>
    <mergeCell ref="A32:C32"/>
    <mergeCell ref="A33:C33"/>
    <mergeCell ref="A34:C34"/>
    <mergeCell ref="A35:C35"/>
    <mergeCell ref="A21:G21"/>
    <mergeCell ref="A23:C23"/>
    <mergeCell ref="A25:C25"/>
    <mergeCell ref="A26:C26"/>
    <mergeCell ref="A27:C27"/>
    <mergeCell ref="A1:H1"/>
    <mergeCell ref="A28:C28"/>
    <mergeCell ref="A12:C12"/>
    <mergeCell ref="A13:C13"/>
    <mergeCell ref="A14:C14"/>
    <mergeCell ref="A16:C16"/>
    <mergeCell ref="A17:C17"/>
    <mergeCell ref="A18:C18"/>
    <mergeCell ref="A10:C10"/>
    <mergeCell ref="A24:C24"/>
    <mergeCell ref="A11:C11"/>
    <mergeCell ref="A3:G3"/>
    <mergeCell ref="A5:G5"/>
    <mergeCell ref="A7:G7"/>
    <mergeCell ref="A9:C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"/>
  <sheetViews>
    <sheetView zoomScale="170" zoomScaleNormal="170" workbookViewId="0">
      <selection activeCell="C17" sqref="C17"/>
    </sheetView>
  </sheetViews>
  <sheetFormatPr defaultRowHeight="15" x14ac:dyDescent="0.25"/>
  <cols>
    <col min="1" max="1" width="37.7109375" customWidth="1"/>
    <col min="2" max="2" width="18.85546875" customWidth="1"/>
    <col min="3" max="3" width="22.5703125" customWidth="1"/>
    <col min="4" max="4" width="21.7109375" customWidth="1"/>
    <col min="5" max="5" width="12.5703125" customWidth="1"/>
    <col min="6" max="6" width="11.28515625" customWidth="1"/>
  </cols>
  <sheetData>
    <row r="1" spans="1:11" ht="42" customHeight="1" x14ac:dyDescent="0.25">
      <c r="A1" s="228" t="s">
        <v>229</v>
      </c>
      <c r="B1" s="228"/>
      <c r="C1" s="228"/>
      <c r="D1" s="228"/>
      <c r="E1" s="228"/>
      <c r="F1" s="228"/>
      <c r="G1" s="228"/>
      <c r="H1" s="228"/>
      <c r="I1" s="77"/>
      <c r="J1" s="77"/>
      <c r="K1" s="77"/>
    </row>
    <row r="2" spans="1:11" ht="15.75" x14ac:dyDescent="0.25">
      <c r="A2" s="235" t="s">
        <v>13</v>
      </c>
      <c r="B2" s="235"/>
      <c r="C2" s="235"/>
      <c r="D2" s="237"/>
      <c r="E2" s="237"/>
    </row>
    <row r="3" spans="1:11" ht="18" x14ac:dyDescent="0.25">
      <c r="A3" s="2"/>
      <c r="B3" s="14"/>
      <c r="C3" s="2"/>
      <c r="D3" s="3"/>
      <c r="E3" s="3"/>
    </row>
    <row r="4" spans="1:11" ht="18" customHeight="1" x14ac:dyDescent="0.25">
      <c r="A4" s="235" t="s">
        <v>2</v>
      </c>
      <c r="B4" s="235"/>
      <c r="C4" s="238"/>
      <c r="D4" s="238"/>
      <c r="E4" s="238"/>
    </row>
    <row r="5" spans="1:11" ht="18" x14ac:dyDescent="0.25">
      <c r="A5" s="2"/>
      <c r="B5" s="14"/>
      <c r="C5" s="2"/>
      <c r="D5" s="3"/>
      <c r="E5" s="3"/>
    </row>
    <row r="6" spans="1:11" ht="15.75" x14ac:dyDescent="0.25">
      <c r="A6" s="235" t="s">
        <v>9</v>
      </c>
      <c r="B6" s="235"/>
      <c r="C6" s="236"/>
      <c r="D6" s="236"/>
      <c r="E6" s="236"/>
    </row>
    <row r="7" spans="1:11" ht="18" x14ac:dyDescent="0.25">
      <c r="A7" s="2"/>
      <c r="B7" s="14"/>
      <c r="C7" s="2"/>
      <c r="D7" s="3"/>
      <c r="E7" s="31"/>
    </row>
    <row r="8" spans="1:11" ht="25.5" x14ac:dyDescent="0.25">
      <c r="A8" s="82" t="s">
        <v>10</v>
      </c>
      <c r="B8" s="162" t="s">
        <v>232</v>
      </c>
      <c r="C8" s="13" t="s">
        <v>215</v>
      </c>
      <c r="D8" s="162" t="s">
        <v>230</v>
      </c>
      <c r="E8" s="13" t="s">
        <v>197</v>
      </c>
      <c r="F8" s="13" t="s">
        <v>198</v>
      </c>
    </row>
    <row r="9" spans="1:11" x14ac:dyDescent="0.25">
      <c r="A9" s="81">
        <v>1</v>
      </c>
      <c r="B9" s="81">
        <v>2</v>
      </c>
      <c r="C9" s="81">
        <v>3</v>
      </c>
      <c r="D9" s="81">
        <v>4</v>
      </c>
      <c r="E9" s="163" t="s">
        <v>216</v>
      </c>
      <c r="F9" s="163" t="s">
        <v>217</v>
      </c>
    </row>
    <row r="10" spans="1:11" ht="15.75" customHeight="1" x14ac:dyDescent="0.25">
      <c r="A10" s="5" t="s">
        <v>11</v>
      </c>
      <c r="B10" s="67">
        <f t="shared" ref="B10:D10" si="0">B11</f>
        <v>3382423.57</v>
      </c>
      <c r="C10" s="67">
        <f>C11</f>
        <v>4323070.46</v>
      </c>
      <c r="D10" s="67">
        <f t="shared" si="0"/>
        <v>4243900.2</v>
      </c>
      <c r="E10" s="99">
        <f>(D10/B10)*100</f>
        <v>125.46921200646672</v>
      </c>
      <c r="F10" s="99">
        <f>(D10/C10)*100</f>
        <v>98.1686567283014</v>
      </c>
    </row>
    <row r="11" spans="1:11" ht="15.75" customHeight="1" x14ac:dyDescent="0.25">
      <c r="A11" s="5" t="s">
        <v>25</v>
      </c>
      <c r="B11" s="66">
        <f>B12+B13</f>
        <v>3382423.57</v>
      </c>
      <c r="C11" s="66">
        <f>C12+C13</f>
        <v>4323070.46</v>
      </c>
      <c r="D11" s="66">
        <f>D12+D13</f>
        <v>4243900.2</v>
      </c>
      <c r="E11" s="99">
        <f t="shared" ref="E11:E13" si="1">(D11/B11)*100</f>
        <v>125.46921200646672</v>
      </c>
      <c r="F11" s="99">
        <f t="shared" ref="F11:F13" si="2">(D11/C11)*100</f>
        <v>98.1686567283014</v>
      </c>
    </row>
    <row r="12" spans="1:11" x14ac:dyDescent="0.25">
      <c r="A12" s="9" t="s">
        <v>26</v>
      </c>
      <c r="B12" s="66">
        <v>3113807.32</v>
      </c>
      <c r="C12" s="66">
        <f>4323070.46-C13</f>
        <v>4030720.46</v>
      </c>
      <c r="D12" s="66">
        <v>3956944.07</v>
      </c>
      <c r="E12" s="99">
        <f t="shared" si="1"/>
        <v>127.07735782443983</v>
      </c>
      <c r="F12" s="99">
        <f t="shared" si="2"/>
        <v>98.169647567174621</v>
      </c>
    </row>
    <row r="13" spans="1:11" x14ac:dyDescent="0.25">
      <c r="A13" s="5" t="s">
        <v>27</v>
      </c>
      <c r="B13" s="66">
        <v>268616.25</v>
      </c>
      <c r="C13" s="66">
        <v>292350</v>
      </c>
      <c r="D13" s="66">
        <v>286956.13</v>
      </c>
      <c r="E13" s="99">
        <f t="shared" si="1"/>
        <v>106.827539286994</v>
      </c>
      <c r="F13" s="99">
        <f t="shared" si="2"/>
        <v>98.154995724303063</v>
      </c>
    </row>
  </sheetData>
  <mergeCells count="4">
    <mergeCell ref="A2:E2"/>
    <mergeCell ref="A4:E4"/>
    <mergeCell ref="A6:E6"/>
    <mergeCell ref="A1:H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5"/>
  <sheetViews>
    <sheetView zoomScale="130" zoomScaleNormal="130" workbookViewId="0">
      <selection activeCell="A187" sqref="A187:C18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6" width="25.28515625" customWidth="1"/>
    <col min="7" max="7" width="14.5703125" customWidth="1"/>
    <col min="9" max="9" width="17.5703125" style="110" customWidth="1"/>
    <col min="10" max="10" width="18.85546875" customWidth="1"/>
  </cols>
  <sheetData>
    <row r="1" spans="1:10" ht="42" customHeight="1" x14ac:dyDescent="0.25">
      <c r="A1" s="228" t="s">
        <v>229</v>
      </c>
      <c r="B1" s="228"/>
      <c r="C1" s="228"/>
      <c r="D1" s="228"/>
      <c r="E1" s="228"/>
      <c r="F1" s="228"/>
      <c r="G1" s="228"/>
      <c r="H1" s="228"/>
      <c r="I1" s="77"/>
      <c r="J1" s="77"/>
    </row>
    <row r="2" spans="1:10" ht="18" x14ac:dyDescent="0.25">
      <c r="A2" s="2"/>
      <c r="B2" s="2"/>
      <c r="C2" s="2"/>
      <c r="D2" s="2"/>
      <c r="E2" s="2"/>
      <c r="F2" s="3"/>
      <c r="G2" s="3"/>
    </row>
    <row r="3" spans="1:10" ht="18" customHeight="1" x14ac:dyDescent="0.25">
      <c r="A3" s="235" t="s">
        <v>12</v>
      </c>
      <c r="B3" s="238"/>
      <c r="C3" s="238"/>
      <c r="D3" s="238"/>
      <c r="E3" s="238"/>
      <c r="F3" s="238"/>
      <c r="G3" s="238"/>
    </row>
    <row r="4" spans="1:10" ht="18" customHeight="1" x14ac:dyDescent="0.25">
      <c r="A4" s="143"/>
      <c r="B4" s="144"/>
      <c r="C4" s="144"/>
      <c r="D4" s="278" t="s">
        <v>223</v>
      </c>
      <c r="E4" s="278"/>
      <c r="F4" s="278"/>
      <c r="G4" s="144"/>
    </row>
    <row r="5" spans="1:10" ht="18" customHeight="1" x14ac:dyDescent="0.25">
      <c r="A5" s="143"/>
      <c r="B5" s="144"/>
      <c r="C5" s="144"/>
      <c r="D5" s="144"/>
      <c r="E5" s="144"/>
      <c r="F5" s="144"/>
      <c r="G5" s="144"/>
    </row>
    <row r="6" spans="1:10" ht="18" x14ac:dyDescent="0.25">
      <c r="A6" s="2"/>
      <c r="B6" s="2"/>
      <c r="C6" s="31"/>
      <c r="D6" s="2"/>
      <c r="E6" s="42">
        <f>E9+E284</f>
        <v>4323070.46</v>
      </c>
      <c r="F6" s="42">
        <f>F9+F284</f>
        <v>4243900.2</v>
      </c>
      <c r="G6" s="42">
        <f>F6/E6*100</f>
        <v>98.1686567283014</v>
      </c>
    </row>
    <row r="7" spans="1:10" x14ac:dyDescent="0.25">
      <c r="A7" s="225" t="s">
        <v>10</v>
      </c>
      <c r="B7" s="226"/>
      <c r="C7" s="226"/>
      <c r="D7" s="227"/>
      <c r="E7" s="13" t="s">
        <v>215</v>
      </c>
      <c r="F7" s="162" t="s">
        <v>230</v>
      </c>
      <c r="G7" s="13" t="s">
        <v>99</v>
      </c>
    </row>
    <row r="8" spans="1:10" s="85" customFormat="1" ht="12" x14ac:dyDescent="0.2">
      <c r="A8" s="275">
        <v>1</v>
      </c>
      <c r="B8" s="276"/>
      <c r="C8" s="276"/>
      <c r="D8" s="277"/>
      <c r="E8" s="84">
        <v>2</v>
      </c>
      <c r="F8" s="84">
        <v>3</v>
      </c>
      <c r="G8" s="84" t="s">
        <v>100</v>
      </c>
      <c r="I8" s="114"/>
    </row>
    <row r="9" spans="1:10" ht="37.15" customHeight="1" x14ac:dyDescent="0.25">
      <c r="A9" s="266" t="s">
        <v>95</v>
      </c>
      <c r="B9" s="267"/>
      <c r="C9" s="268"/>
      <c r="D9" s="65" t="s">
        <v>96</v>
      </c>
      <c r="E9" s="52">
        <f>E10+E38+E45+E52+E60+E116+E244+E257</f>
        <v>3885337.5999999996</v>
      </c>
      <c r="F9" s="52">
        <f>F10+F38+F45+F52+F60+F116+F244+F257</f>
        <v>3813020.5900000003</v>
      </c>
      <c r="G9" s="52"/>
      <c r="I9" s="120"/>
      <c r="J9" s="110"/>
    </row>
    <row r="10" spans="1:10" ht="24.95" customHeight="1" x14ac:dyDescent="0.25">
      <c r="A10" s="269" t="s">
        <v>34</v>
      </c>
      <c r="B10" s="270"/>
      <c r="C10" s="271"/>
      <c r="D10" s="44" t="s">
        <v>35</v>
      </c>
      <c r="E10" s="51">
        <f>E12</f>
        <v>178361.35</v>
      </c>
      <c r="F10" s="51">
        <f>F12</f>
        <v>170562.81000000003</v>
      </c>
      <c r="G10" s="51"/>
    </row>
    <row r="11" spans="1:10" s="57" customFormat="1" ht="24.95" customHeight="1" x14ac:dyDescent="0.2">
      <c r="A11" s="257" t="s">
        <v>63</v>
      </c>
      <c r="B11" s="258"/>
      <c r="C11" s="259"/>
      <c r="D11" s="55" t="s">
        <v>4</v>
      </c>
      <c r="E11" s="56">
        <f>E12</f>
        <v>178361.35</v>
      </c>
      <c r="F11" s="56">
        <f t="shared" ref="F11" si="0">F12</f>
        <v>170562.81000000003</v>
      </c>
      <c r="G11" s="56">
        <f>(F11/E11)*100</f>
        <v>95.627673820589507</v>
      </c>
      <c r="I11" s="115"/>
    </row>
    <row r="12" spans="1:10" ht="24.95" customHeight="1" x14ac:dyDescent="0.25">
      <c r="A12" s="263">
        <v>3</v>
      </c>
      <c r="B12" s="264"/>
      <c r="C12" s="265"/>
      <c r="D12" s="16" t="s">
        <v>6</v>
      </c>
      <c r="E12" s="37">
        <f>E13</f>
        <v>178361.35</v>
      </c>
      <c r="F12" s="37">
        <f>F13</f>
        <v>170562.81000000003</v>
      </c>
      <c r="G12" s="37"/>
    </row>
    <row r="13" spans="1:10" ht="24.95" customHeight="1" x14ac:dyDescent="0.25">
      <c r="A13" s="260">
        <v>32</v>
      </c>
      <c r="B13" s="261"/>
      <c r="C13" s="262"/>
      <c r="D13" s="123" t="s">
        <v>14</v>
      </c>
      <c r="E13" s="124">
        <f>6500+600+2400+23000+74500+800+200+500+4600+13000+497.7+12205.48+4400+3000+2000+11960+4200+398.17+8400+3400+100+100+1600</f>
        <v>178361.35</v>
      </c>
      <c r="F13" s="124">
        <f>F14+F18+F24+F33</f>
        <v>170562.81000000003</v>
      </c>
      <c r="G13" s="125">
        <f>(F13/E13)*100</f>
        <v>95.627673820589507</v>
      </c>
    </row>
    <row r="14" spans="1:10" ht="24.95" customHeight="1" x14ac:dyDescent="0.25">
      <c r="A14" s="254">
        <v>321</v>
      </c>
      <c r="B14" s="255"/>
      <c r="C14" s="256"/>
      <c r="D14" s="96" t="s">
        <v>124</v>
      </c>
      <c r="E14" s="37"/>
      <c r="F14" s="105">
        <f>SUM(F15:F17)</f>
        <v>8989.86</v>
      </c>
      <c r="G14" s="38"/>
    </row>
    <row r="15" spans="1:10" ht="24.95" customHeight="1" x14ac:dyDescent="0.25">
      <c r="A15" s="251">
        <v>3211</v>
      </c>
      <c r="B15" s="252"/>
      <c r="C15" s="253"/>
      <c r="D15" s="96" t="s">
        <v>125</v>
      </c>
      <c r="E15" s="37"/>
      <c r="F15" s="37">
        <v>6275.36</v>
      </c>
      <c r="G15" s="38"/>
    </row>
    <row r="16" spans="1:10" ht="24.95" customHeight="1" x14ac:dyDescent="0.25">
      <c r="A16" s="251">
        <v>3213</v>
      </c>
      <c r="B16" s="252"/>
      <c r="C16" s="253"/>
      <c r="D16" s="96" t="s">
        <v>127</v>
      </c>
      <c r="E16" s="37"/>
      <c r="F16" s="37">
        <v>605</v>
      </c>
      <c r="G16" s="38"/>
    </row>
    <row r="17" spans="1:7" ht="24.95" customHeight="1" x14ac:dyDescent="0.25">
      <c r="A17" s="251">
        <v>3214</v>
      </c>
      <c r="B17" s="252"/>
      <c r="C17" s="253"/>
      <c r="D17" s="96" t="s">
        <v>128</v>
      </c>
      <c r="E17" s="37"/>
      <c r="F17" s="37">
        <v>2109.5</v>
      </c>
      <c r="G17" s="38"/>
    </row>
    <row r="18" spans="1:7" ht="24.95" customHeight="1" x14ac:dyDescent="0.25">
      <c r="A18" s="254">
        <v>322</v>
      </c>
      <c r="B18" s="255"/>
      <c r="C18" s="256"/>
      <c r="D18" s="96" t="s">
        <v>129</v>
      </c>
      <c r="E18" s="37"/>
      <c r="F18" s="105">
        <f>SUM(F19:F23)</f>
        <v>84498.13</v>
      </c>
      <c r="G18" s="38"/>
    </row>
    <row r="19" spans="1:7" ht="24.95" customHeight="1" x14ac:dyDescent="0.25">
      <c r="A19" s="251">
        <v>3221</v>
      </c>
      <c r="B19" s="252"/>
      <c r="C19" s="253"/>
      <c r="D19" s="96" t="s">
        <v>130</v>
      </c>
      <c r="E19" s="37"/>
      <c r="F19" s="37">
        <v>19621.77</v>
      </c>
      <c r="G19" s="38"/>
    </row>
    <row r="20" spans="1:7" ht="24.95" customHeight="1" x14ac:dyDescent="0.25">
      <c r="A20" s="251">
        <v>3223</v>
      </c>
      <c r="B20" s="252"/>
      <c r="C20" s="253"/>
      <c r="D20" s="96" t="s">
        <v>132</v>
      </c>
      <c r="E20" s="37"/>
      <c r="F20" s="37">
        <v>63680.01</v>
      </c>
      <c r="G20" s="38"/>
    </row>
    <row r="21" spans="1:7" ht="24.95" customHeight="1" x14ac:dyDescent="0.25">
      <c r="A21" s="251">
        <v>3224</v>
      </c>
      <c r="B21" s="252"/>
      <c r="C21" s="253"/>
      <c r="D21" s="96" t="s">
        <v>166</v>
      </c>
      <c r="E21" s="37"/>
      <c r="F21" s="37">
        <v>800</v>
      </c>
      <c r="G21" s="38"/>
    </row>
    <row r="22" spans="1:7" ht="24.95" customHeight="1" x14ac:dyDescent="0.25">
      <c r="A22" s="251">
        <v>3225</v>
      </c>
      <c r="B22" s="252"/>
      <c r="C22" s="253"/>
      <c r="D22" s="96" t="s">
        <v>133</v>
      </c>
      <c r="E22" s="37"/>
      <c r="F22" s="37">
        <v>24</v>
      </c>
      <c r="G22" s="38"/>
    </row>
    <row r="23" spans="1:7" ht="24.95" customHeight="1" x14ac:dyDescent="0.25">
      <c r="A23" s="251">
        <v>3227</v>
      </c>
      <c r="B23" s="252"/>
      <c r="C23" s="253"/>
      <c r="D23" s="96" t="s">
        <v>167</v>
      </c>
      <c r="E23" s="37"/>
      <c r="F23" s="37">
        <v>372.35</v>
      </c>
      <c r="G23" s="38"/>
    </row>
    <row r="24" spans="1:7" ht="24.95" customHeight="1" x14ac:dyDescent="0.25">
      <c r="A24" s="254">
        <v>323</v>
      </c>
      <c r="B24" s="255"/>
      <c r="C24" s="256"/>
      <c r="D24" s="96" t="s">
        <v>134</v>
      </c>
      <c r="E24" s="37"/>
      <c r="F24" s="105">
        <f>SUM(F25:F32)</f>
        <v>72901.400000000009</v>
      </c>
      <c r="G24" s="38"/>
    </row>
    <row r="25" spans="1:7" ht="24.95" customHeight="1" x14ac:dyDescent="0.25">
      <c r="A25" s="251">
        <v>3231</v>
      </c>
      <c r="B25" s="252"/>
      <c r="C25" s="253"/>
      <c r="D25" s="96" t="s">
        <v>135</v>
      </c>
      <c r="E25" s="37"/>
      <c r="F25" s="37">
        <v>4331.96</v>
      </c>
      <c r="G25" s="38"/>
    </row>
    <row r="26" spans="1:7" ht="24.95" customHeight="1" x14ac:dyDescent="0.25">
      <c r="A26" s="251">
        <v>3232</v>
      </c>
      <c r="B26" s="252"/>
      <c r="C26" s="253"/>
      <c r="D26" s="96" t="s">
        <v>136</v>
      </c>
      <c r="E26" s="37"/>
      <c r="F26" s="37">
        <v>12743.75</v>
      </c>
      <c r="G26" s="38"/>
    </row>
    <row r="27" spans="1:7" ht="24.95" customHeight="1" x14ac:dyDescent="0.25">
      <c r="A27" s="251">
        <v>3233</v>
      </c>
      <c r="B27" s="252"/>
      <c r="C27" s="253"/>
      <c r="D27" s="96" t="s">
        <v>137</v>
      </c>
      <c r="E27" s="37"/>
      <c r="F27" s="37">
        <v>1477.7</v>
      </c>
      <c r="G27" s="38"/>
    </row>
    <row r="28" spans="1:7" ht="24.95" customHeight="1" x14ac:dyDescent="0.25">
      <c r="A28" s="251">
        <v>3234</v>
      </c>
      <c r="B28" s="252"/>
      <c r="C28" s="253"/>
      <c r="D28" s="96" t="s">
        <v>138</v>
      </c>
      <c r="E28" s="37"/>
      <c r="F28" s="37">
        <v>17410.78</v>
      </c>
      <c r="G28" s="38"/>
    </row>
    <row r="29" spans="1:7" ht="24.95" customHeight="1" x14ac:dyDescent="0.25">
      <c r="A29" s="251">
        <v>3236</v>
      </c>
      <c r="B29" s="252"/>
      <c r="C29" s="253"/>
      <c r="D29" s="96" t="s">
        <v>148</v>
      </c>
      <c r="E29" s="37"/>
      <c r="F29" s="37">
        <v>4160</v>
      </c>
      <c r="G29" s="38"/>
    </row>
    <row r="30" spans="1:7" ht="24.95" customHeight="1" x14ac:dyDescent="0.25">
      <c r="A30" s="251">
        <v>3237</v>
      </c>
      <c r="B30" s="252"/>
      <c r="C30" s="253"/>
      <c r="D30" s="96" t="s">
        <v>139</v>
      </c>
      <c r="E30" s="37"/>
      <c r="F30" s="37">
        <v>4342.1899999999996</v>
      </c>
      <c r="G30" s="38"/>
    </row>
    <row r="31" spans="1:7" ht="24.95" customHeight="1" x14ac:dyDescent="0.25">
      <c r="A31" s="251">
        <v>3238</v>
      </c>
      <c r="B31" s="252"/>
      <c r="C31" s="253"/>
      <c r="D31" s="96" t="s">
        <v>140</v>
      </c>
      <c r="E31" s="37"/>
      <c r="F31" s="37">
        <v>5629.94</v>
      </c>
      <c r="G31" s="38"/>
    </row>
    <row r="32" spans="1:7" ht="24.95" customHeight="1" x14ac:dyDescent="0.25">
      <c r="A32" s="251">
        <v>3239</v>
      </c>
      <c r="B32" s="252"/>
      <c r="C32" s="253"/>
      <c r="D32" s="96" t="s">
        <v>141</v>
      </c>
      <c r="E32" s="37"/>
      <c r="F32" s="37">
        <v>22805.08</v>
      </c>
      <c r="G32" s="38"/>
    </row>
    <row r="33" spans="1:9" ht="24.95" customHeight="1" x14ac:dyDescent="0.25">
      <c r="A33" s="254">
        <v>329</v>
      </c>
      <c r="B33" s="255"/>
      <c r="C33" s="256"/>
      <c r="D33" s="96" t="s">
        <v>142</v>
      </c>
      <c r="E33" s="37"/>
      <c r="F33" s="105">
        <f>SUM(F34:F37)</f>
        <v>4173.42</v>
      </c>
      <c r="G33" s="38"/>
    </row>
    <row r="34" spans="1:9" ht="24.95" customHeight="1" x14ac:dyDescent="0.25">
      <c r="A34" s="251">
        <v>3292</v>
      </c>
      <c r="B34" s="252"/>
      <c r="C34" s="253"/>
      <c r="D34" s="96" t="s">
        <v>143</v>
      </c>
      <c r="E34" s="37"/>
      <c r="F34" s="37">
        <v>3460.95</v>
      </c>
      <c r="G34" s="38"/>
    </row>
    <row r="35" spans="1:9" ht="24.95" customHeight="1" x14ac:dyDescent="0.25">
      <c r="A35" s="251">
        <v>3293</v>
      </c>
      <c r="B35" s="252"/>
      <c r="C35" s="253"/>
      <c r="D35" s="96" t="s">
        <v>144</v>
      </c>
      <c r="E35" s="37"/>
      <c r="F35" s="37"/>
      <c r="G35" s="38"/>
    </row>
    <row r="36" spans="1:9" ht="24.95" customHeight="1" x14ac:dyDescent="0.25">
      <c r="A36" s="251">
        <v>3294</v>
      </c>
      <c r="B36" s="252"/>
      <c r="C36" s="253"/>
      <c r="D36" s="96" t="s">
        <v>145</v>
      </c>
      <c r="E36" s="37"/>
      <c r="F36" s="37">
        <v>98.09</v>
      </c>
      <c r="G36" s="38"/>
    </row>
    <row r="37" spans="1:9" ht="24.95" customHeight="1" x14ac:dyDescent="0.25">
      <c r="A37" s="251">
        <v>3299</v>
      </c>
      <c r="B37" s="252"/>
      <c r="C37" s="253"/>
      <c r="D37" s="96" t="s">
        <v>142</v>
      </c>
      <c r="E37" s="37"/>
      <c r="F37" s="37">
        <v>614.38</v>
      </c>
      <c r="G37" s="38"/>
    </row>
    <row r="38" spans="1:9" ht="24.95" customHeight="1" x14ac:dyDescent="0.25">
      <c r="A38" s="269" t="s">
        <v>36</v>
      </c>
      <c r="B38" s="270"/>
      <c r="C38" s="271"/>
      <c r="D38" s="76" t="s">
        <v>37</v>
      </c>
      <c r="E38" s="51">
        <f>E40</f>
        <v>689.82</v>
      </c>
      <c r="F38" s="51">
        <f t="shared" ref="F38" si="1">F40</f>
        <v>41.06</v>
      </c>
      <c r="G38" s="51"/>
    </row>
    <row r="39" spans="1:9" s="58" customFormat="1" ht="24.95" customHeight="1" x14ac:dyDescent="0.25">
      <c r="A39" s="257" t="s">
        <v>63</v>
      </c>
      <c r="B39" s="258"/>
      <c r="C39" s="259"/>
      <c r="D39" s="55" t="s">
        <v>4</v>
      </c>
      <c r="E39" s="56">
        <f>E40</f>
        <v>689.82</v>
      </c>
      <c r="F39" s="56">
        <f>F40</f>
        <v>41.06</v>
      </c>
      <c r="G39" s="56">
        <f>(F39/E39)*100</f>
        <v>5.9522774057000376</v>
      </c>
      <c r="I39" s="116"/>
    </row>
    <row r="40" spans="1:9" ht="24.95" customHeight="1" x14ac:dyDescent="0.25">
      <c r="A40" s="263">
        <v>3</v>
      </c>
      <c r="B40" s="264"/>
      <c r="C40" s="265"/>
      <c r="D40" s="18" t="s">
        <v>6</v>
      </c>
      <c r="E40" s="37">
        <f>E41</f>
        <v>689.82</v>
      </c>
      <c r="F40" s="37">
        <f t="shared" ref="F40" si="2">F41</f>
        <v>41.06</v>
      </c>
      <c r="G40" s="37"/>
    </row>
    <row r="41" spans="1:9" ht="24.95" customHeight="1" x14ac:dyDescent="0.25">
      <c r="A41" s="260">
        <v>34</v>
      </c>
      <c r="B41" s="261"/>
      <c r="C41" s="262"/>
      <c r="D41" s="123" t="s">
        <v>37</v>
      </c>
      <c r="E41" s="124">
        <f>650+39.82</f>
        <v>689.82</v>
      </c>
      <c r="F41" s="124">
        <f>F42</f>
        <v>41.06</v>
      </c>
      <c r="G41" s="125">
        <f>(F41/E41)*100</f>
        <v>5.9522774057000376</v>
      </c>
    </row>
    <row r="42" spans="1:9" ht="24.95" customHeight="1" x14ac:dyDescent="0.25">
      <c r="A42" s="254">
        <v>343</v>
      </c>
      <c r="B42" s="255"/>
      <c r="C42" s="256"/>
      <c r="D42" s="97" t="s">
        <v>151</v>
      </c>
      <c r="E42" s="105"/>
      <c r="F42" s="105">
        <f>F43+F44</f>
        <v>41.06</v>
      </c>
      <c r="G42" s="38"/>
    </row>
    <row r="43" spans="1:9" ht="24.95" customHeight="1" x14ac:dyDescent="0.25">
      <c r="A43" s="251">
        <v>3431</v>
      </c>
      <c r="B43" s="252"/>
      <c r="C43" s="253"/>
      <c r="D43" s="96" t="s">
        <v>152</v>
      </c>
      <c r="E43" s="37"/>
      <c r="F43" s="37"/>
      <c r="G43" s="38"/>
    </row>
    <row r="44" spans="1:9" ht="24.95" customHeight="1" x14ac:dyDescent="0.25">
      <c r="A44" s="251">
        <v>3433</v>
      </c>
      <c r="B44" s="252"/>
      <c r="C44" s="253"/>
      <c r="D44" s="97" t="s">
        <v>153</v>
      </c>
      <c r="E44" s="37"/>
      <c r="F44" s="37">
        <v>41.06</v>
      </c>
      <c r="G44" s="38"/>
    </row>
    <row r="45" spans="1:9" ht="24.95" customHeight="1" x14ac:dyDescent="0.25">
      <c r="A45" s="269" t="s">
        <v>38</v>
      </c>
      <c r="B45" s="270"/>
      <c r="C45" s="271"/>
      <c r="D45" s="44" t="s">
        <v>39</v>
      </c>
      <c r="E45" s="51">
        <f>E47</f>
        <v>40800.000000000007</v>
      </c>
      <c r="F45" s="51">
        <f t="shared" ref="F45" si="3">F47</f>
        <v>40794.75</v>
      </c>
      <c r="G45" s="51"/>
    </row>
    <row r="46" spans="1:9" s="58" customFormat="1" ht="24.95" customHeight="1" x14ac:dyDescent="0.25">
      <c r="A46" s="257" t="s">
        <v>63</v>
      </c>
      <c r="B46" s="258"/>
      <c r="C46" s="259"/>
      <c r="D46" s="55" t="s">
        <v>4</v>
      </c>
      <c r="E46" s="56">
        <f>E47</f>
        <v>40800.000000000007</v>
      </c>
      <c r="F46" s="56">
        <f t="shared" ref="F46:F47" si="4">F47</f>
        <v>40794.75</v>
      </c>
      <c r="G46" s="56">
        <f>(F46/E46)*100</f>
        <v>99.98713235294116</v>
      </c>
      <c r="I46" s="116"/>
    </row>
    <row r="47" spans="1:9" ht="24.95" customHeight="1" x14ac:dyDescent="0.25">
      <c r="A47" s="263">
        <v>4</v>
      </c>
      <c r="B47" s="264"/>
      <c r="C47" s="265"/>
      <c r="D47" s="18" t="s">
        <v>8</v>
      </c>
      <c r="E47" s="37">
        <f>E48</f>
        <v>40800.000000000007</v>
      </c>
      <c r="F47" s="37">
        <f t="shared" si="4"/>
        <v>40794.75</v>
      </c>
      <c r="G47" s="37"/>
    </row>
    <row r="48" spans="1:9" ht="24.95" customHeight="1" x14ac:dyDescent="0.25">
      <c r="A48" s="260">
        <v>42</v>
      </c>
      <c r="B48" s="261"/>
      <c r="C48" s="262"/>
      <c r="D48" s="123" t="s">
        <v>17</v>
      </c>
      <c r="E48" s="124">
        <f>10000+27559.38+2740.62+500</f>
        <v>40800.000000000007</v>
      </c>
      <c r="F48" s="124">
        <f>SUM(F49:F51)</f>
        <v>40794.75</v>
      </c>
      <c r="G48" s="125">
        <f>(F48/E48)*100</f>
        <v>99.98713235294116</v>
      </c>
    </row>
    <row r="49" spans="1:9" ht="24.95" customHeight="1" x14ac:dyDescent="0.25">
      <c r="A49" s="251">
        <v>4221</v>
      </c>
      <c r="B49" s="252"/>
      <c r="C49" s="253"/>
      <c r="D49" s="97" t="s">
        <v>158</v>
      </c>
      <c r="E49" s="37"/>
      <c r="F49" s="37">
        <v>9999.99</v>
      </c>
      <c r="G49" s="56"/>
    </row>
    <row r="50" spans="1:9" ht="24.95" customHeight="1" x14ac:dyDescent="0.25">
      <c r="A50" s="251">
        <v>4223</v>
      </c>
      <c r="B50" s="252"/>
      <c r="C50" s="253"/>
      <c r="D50" s="98" t="s">
        <v>160</v>
      </c>
      <c r="E50" s="37"/>
      <c r="F50" s="37">
        <v>30294.82</v>
      </c>
      <c r="G50" s="56"/>
    </row>
    <row r="51" spans="1:9" ht="24.95" customHeight="1" x14ac:dyDescent="0.25">
      <c r="A51" s="251">
        <v>4241</v>
      </c>
      <c r="B51" s="252"/>
      <c r="C51" s="253"/>
      <c r="D51" s="97" t="s">
        <v>162</v>
      </c>
      <c r="E51" s="37"/>
      <c r="F51" s="37">
        <v>499.94</v>
      </c>
      <c r="G51" s="56"/>
    </row>
    <row r="52" spans="1:9" ht="24.95" customHeight="1" x14ac:dyDescent="0.25">
      <c r="A52" s="269" t="s">
        <v>40</v>
      </c>
      <c r="B52" s="270"/>
      <c r="C52" s="271"/>
      <c r="D52" s="44" t="s">
        <v>41</v>
      </c>
      <c r="E52" s="51">
        <f>E54</f>
        <v>60000</v>
      </c>
      <c r="F52" s="51">
        <f t="shared" ref="F52" si="5">F54</f>
        <v>58852.5</v>
      </c>
      <c r="G52" s="51"/>
    </row>
    <row r="53" spans="1:9" s="58" customFormat="1" ht="24.95" customHeight="1" x14ac:dyDescent="0.25">
      <c r="A53" s="257" t="s">
        <v>63</v>
      </c>
      <c r="B53" s="258"/>
      <c r="C53" s="259"/>
      <c r="D53" s="55" t="s">
        <v>4</v>
      </c>
      <c r="E53" s="56">
        <f>E54</f>
        <v>60000</v>
      </c>
      <c r="F53" s="56">
        <f>F54</f>
        <v>58852.5</v>
      </c>
      <c r="G53" s="56">
        <f>(F53/E53)*100</f>
        <v>98.087500000000006</v>
      </c>
      <c r="I53" s="116"/>
    </row>
    <row r="54" spans="1:9" ht="24.95" customHeight="1" x14ac:dyDescent="0.25">
      <c r="A54" s="263">
        <v>4</v>
      </c>
      <c r="B54" s="264"/>
      <c r="C54" s="265"/>
      <c r="D54" s="18" t="s">
        <v>8</v>
      </c>
      <c r="E54" s="37">
        <f>E55</f>
        <v>60000</v>
      </c>
      <c r="F54" s="37">
        <f t="shared" ref="F54" si="6">F55</f>
        <v>58852.5</v>
      </c>
      <c r="G54" s="37"/>
    </row>
    <row r="55" spans="1:9" ht="24.95" customHeight="1" x14ac:dyDescent="0.25">
      <c r="A55" s="260">
        <v>45</v>
      </c>
      <c r="B55" s="261"/>
      <c r="C55" s="262"/>
      <c r="D55" s="126" t="s">
        <v>23</v>
      </c>
      <c r="E55" s="124">
        <f>33000+27000</f>
        <v>60000</v>
      </c>
      <c r="F55" s="124">
        <f>F56+F58</f>
        <v>58852.5</v>
      </c>
      <c r="G55" s="125">
        <f>(F55/E55)*100</f>
        <v>98.087500000000006</v>
      </c>
    </row>
    <row r="56" spans="1:9" ht="24.95" customHeight="1" x14ac:dyDescent="0.25">
      <c r="A56" s="254">
        <v>451</v>
      </c>
      <c r="B56" s="255"/>
      <c r="C56" s="256"/>
      <c r="D56" s="96" t="s">
        <v>163</v>
      </c>
      <c r="E56" s="105"/>
      <c r="F56" s="105">
        <f>F57</f>
        <v>32950</v>
      </c>
      <c r="G56" s="38"/>
    </row>
    <row r="57" spans="1:9" ht="24.95" customHeight="1" x14ac:dyDescent="0.25">
      <c r="A57" s="251">
        <v>4511</v>
      </c>
      <c r="B57" s="252"/>
      <c r="C57" s="253"/>
      <c r="D57" s="96" t="s">
        <v>163</v>
      </c>
      <c r="E57" s="37"/>
      <c r="F57" s="37">
        <v>32950</v>
      </c>
      <c r="G57" s="38"/>
    </row>
    <row r="58" spans="1:9" ht="24.95" customHeight="1" x14ac:dyDescent="0.25">
      <c r="A58" s="254">
        <v>452</v>
      </c>
      <c r="B58" s="255"/>
      <c r="C58" s="256"/>
      <c r="D58" s="96" t="s">
        <v>242</v>
      </c>
      <c r="E58" s="37"/>
      <c r="F58" s="105">
        <f>F59</f>
        <v>25902.5</v>
      </c>
      <c r="G58" s="38"/>
    </row>
    <row r="59" spans="1:9" ht="24.95" customHeight="1" x14ac:dyDescent="0.25">
      <c r="A59" s="251">
        <v>4521</v>
      </c>
      <c r="B59" s="252"/>
      <c r="C59" s="253"/>
      <c r="D59" s="96" t="s">
        <v>242</v>
      </c>
      <c r="E59" s="37"/>
      <c r="F59" s="37">
        <v>25902.5</v>
      </c>
      <c r="G59" s="38"/>
    </row>
    <row r="60" spans="1:9" ht="32.450000000000003" customHeight="1" x14ac:dyDescent="0.25">
      <c r="A60" s="269" t="s">
        <v>42</v>
      </c>
      <c r="B60" s="270"/>
      <c r="C60" s="271"/>
      <c r="D60" s="44" t="s">
        <v>43</v>
      </c>
      <c r="E60" s="51">
        <f>E61+E64+E67+E84+E94+E113+E74</f>
        <v>3165281.48</v>
      </c>
      <c r="F60" s="51">
        <f>F61+F64+F67+F84+F94+F113+F74</f>
        <v>3134875.3600000003</v>
      </c>
      <c r="G60" s="51"/>
    </row>
    <row r="61" spans="1:9" s="58" customFormat="1" ht="24.95" customHeight="1" x14ac:dyDescent="0.25">
      <c r="A61" s="257" t="s">
        <v>64</v>
      </c>
      <c r="B61" s="258"/>
      <c r="C61" s="259"/>
      <c r="D61" s="55" t="s">
        <v>65</v>
      </c>
      <c r="E61" s="56">
        <f>E62</f>
        <v>0</v>
      </c>
      <c r="F61" s="56">
        <f t="shared" ref="F61:F62" si="7">F62</f>
        <v>0</v>
      </c>
      <c r="G61" s="56" t="e">
        <f>(F61/E61)*100</f>
        <v>#DIV/0!</v>
      </c>
      <c r="I61" s="116"/>
    </row>
    <row r="62" spans="1:9" ht="24.95" customHeight="1" x14ac:dyDescent="0.25">
      <c r="A62" s="263">
        <v>3</v>
      </c>
      <c r="B62" s="264"/>
      <c r="C62" s="265"/>
      <c r="D62" s="45" t="s">
        <v>6</v>
      </c>
      <c r="E62" s="37">
        <f>E63</f>
        <v>0</v>
      </c>
      <c r="F62" s="37">
        <f t="shared" si="7"/>
        <v>0</v>
      </c>
      <c r="G62" s="37"/>
    </row>
    <row r="63" spans="1:9" ht="24.95" customHeight="1" x14ac:dyDescent="0.25">
      <c r="A63" s="260">
        <v>31</v>
      </c>
      <c r="B63" s="261"/>
      <c r="C63" s="262"/>
      <c r="D63" s="123" t="s">
        <v>89</v>
      </c>
      <c r="E63" s="124"/>
      <c r="F63" s="124">
        <v>0</v>
      </c>
      <c r="G63" s="125" t="e">
        <f>(F63/E63)*100</f>
        <v>#DIV/0!</v>
      </c>
    </row>
    <row r="64" spans="1:9" s="58" customFormat="1" ht="24.95" customHeight="1" x14ac:dyDescent="0.25">
      <c r="A64" s="257" t="s">
        <v>86</v>
      </c>
      <c r="B64" s="258"/>
      <c r="C64" s="259"/>
      <c r="D64" s="55" t="s">
        <v>69</v>
      </c>
      <c r="E64" s="56">
        <f>E65</f>
        <v>0</v>
      </c>
      <c r="F64" s="56">
        <f t="shared" ref="F64:F65" si="8">F65</f>
        <v>0</v>
      </c>
      <c r="G64" s="56" t="e">
        <f>(F64/E64)*100</f>
        <v>#DIV/0!</v>
      </c>
      <c r="I64" s="116"/>
    </row>
    <row r="65" spans="1:9" ht="24.95" customHeight="1" x14ac:dyDescent="0.25">
      <c r="A65" s="263">
        <v>3</v>
      </c>
      <c r="B65" s="264"/>
      <c r="C65" s="265"/>
      <c r="D65" s="45" t="s">
        <v>6</v>
      </c>
      <c r="E65" s="37">
        <f>E66</f>
        <v>0</v>
      </c>
      <c r="F65" s="37">
        <f t="shared" si="8"/>
        <v>0</v>
      </c>
      <c r="G65" s="37"/>
    </row>
    <row r="66" spans="1:9" ht="24.95" customHeight="1" x14ac:dyDescent="0.25">
      <c r="A66" s="260">
        <v>31</v>
      </c>
      <c r="B66" s="261"/>
      <c r="C66" s="262"/>
      <c r="D66" s="123" t="s">
        <v>168</v>
      </c>
      <c r="E66" s="124">
        <v>0</v>
      </c>
      <c r="F66" s="124">
        <v>0</v>
      </c>
      <c r="G66" s="125" t="e">
        <f>(F66/E66)*100</f>
        <v>#DIV/0!</v>
      </c>
    </row>
    <row r="67" spans="1:9" s="58" customFormat="1" ht="24.95" customHeight="1" x14ac:dyDescent="0.25">
      <c r="A67" s="257" t="s">
        <v>66</v>
      </c>
      <c r="B67" s="258"/>
      <c r="C67" s="259"/>
      <c r="D67" s="55" t="s">
        <v>85</v>
      </c>
      <c r="E67" s="56">
        <f>E68</f>
        <v>0</v>
      </c>
      <c r="F67" s="56">
        <f>F68</f>
        <v>0</v>
      </c>
      <c r="G67" s="56" t="e">
        <f>(F67/E67)*100</f>
        <v>#DIV/0!</v>
      </c>
      <c r="I67" s="116"/>
    </row>
    <row r="68" spans="1:9" ht="24.95" customHeight="1" x14ac:dyDescent="0.25">
      <c r="A68" s="263">
        <v>3</v>
      </c>
      <c r="B68" s="264"/>
      <c r="C68" s="265"/>
      <c r="D68" s="45" t="s">
        <v>6</v>
      </c>
      <c r="E68" s="37">
        <f>E69</f>
        <v>0</v>
      </c>
      <c r="F68" s="37">
        <f t="shared" ref="F68" si="9">F69</f>
        <v>0</v>
      </c>
      <c r="G68" s="37"/>
    </row>
    <row r="69" spans="1:9" ht="24.95" customHeight="1" x14ac:dyDescent="0.25">
      <c r="A69" s="260">
        <v>31</v>
      </c>
      <c r="B69" s="261"/>
      <c r="C69" s="262"/>
      <c r="D69" s="123" t="s">
        <v>7</v>
      </c>
      <c r="E69" s="124"/>
      <c r="F69" s="124">
        <f>F70+F72</f>
        <v>0</v>
      </c>
      <c r="G69" s="125" t="e">
        <f>(F69/E69)*100</f>
        <v>#DIV/0!</v>
      </c>
    </row>
    <row r="70" spans="1:9" ht="24.95" customHeight="1" x14ac:dyDescent="0.25">
      <c r="A70" s="254">
        <v>311</v>
      </c>
      <c r="B70" s="255"/>
      <c r="C70" s="256"/>
      <c r="D70" s="96" t="s">
        <v>119</v>
      </c>
      <c r="E70" s="105"/>
      <c r="F70" s="105">
        <f>F71</f>
        <v>0</v>
      </c>
      <c r="G70" s="38"/>
    </row>
    <row r="71" spans="1:9" ht="24.95" customHeight="1" x14ac:dyDescent="0.25">
      <c r="A71" s="251">
        <v>3111</v>
      </c>
      <c r="B71" s="252"/>
      <c r="C71" s="253"/>
      <c r="D71" s="96" t="s">
        <v>120</v>
      </c>
      <c r="E71" s="37"/>
      <c r="F71" s="37"/>
      <c r="G71" s="38"/>
    </row>
    <row r="72" spans="1:9" ht="24.95" customHeight="1" x14ac:dyDescent="0.25">
      <c r="A72" s="254">
        <v>313</v>
      </c>
      <c r="B72" s="255"/>
      <c r="C72" s="256"/>
      <c r="D72" s="96" t="s">
        <v>122</v>
      </c>
      <c r="E72" s="105"/>
      <c r="F72" s="105">
        <f>F73</f>
        <v>0</v>
      </c>
      <c r="G72" s="38"/>
    </row>
    <row r="73" spans="1:9" ht="24.95" customHeight="1" x14ac:dyDescent="0.25">
      <c r="A73" s="251">
        <v>3132</v>
      </c>
      <c r="B73" s="252"/>
      <c r="C73" s="253"/>
      <c r="D73" s="96" t="s">
        <v>123</v>
      </c>
      <c r="E73" s="37"/>
      <c r="F73" s="37"/>
      <c r="G73" s="38"/>
    </row>
    <row r="74" spans="1:9" ht="24.95" customHeight="1" x14ac:dyDescent="0.25">
      <c r="A74" s="257" t="s">
        <v>164</v>
      </c>
      <c r="B74" s="258"/>
      <c r="C74" s="259"/>
      <c r="D74" s="111" t="s">
        <v>32</v>
      </c>
      <c r="E74" s="119">
        <f>E75</f>
        <v>0</v>
      </c>
      <c r="F74" s="119">
        <f>F75</f>
        <v>0</v>
      </c>
      <c r="G74" s="56" t="e">
        <f>(F74/E74)*100</f>
        <v>#DIV/0!</v>
      </c>
    </row>
    <row r="75" spans="1:9" ht="24.95" customHeight="1" x14ac:dyDescent="0.25">
      <c r="A75" s="263">
        <v>3</v>
      </c>
      <c r="B75" s="264"/>
      <c r="C75" s="265"/>
      <c r="D75" s="112" t="s">
        <v>6</v>
      </c>
      <c r="E75" s="37">
        <f>E76+E81</f>
        <v>0</v>
      </c>
      <c r="F75" s="37">
        <f>F76+F81</f>
        <v>0</v>
      </c>
      <c r="G75" s="38"/>
    </row>
    <row r="76" spans="1:9" ht="24.95" customHeight="1" x14ac:dyDescent="0.25">
      <c r="A76" s="260">
        <v>31</v>
      </c>
      <c r="B76" s="261"/>
      <c r="C76" s="262"/>
      <c r="D76" s="123" t="s">
        <v>7</v>
      </c>
      <c r="E76" s="124"/>
      <c r="F76" s="124">
        <f>F77+F79</f>
        <v>0</v>
      </c>
      <c r="G76" s="125" t="e">
        <f>(F76/E76)*100</f>
        <v>#DIV/0!</v>
      </c>
    </row>
    <row r="77" spans="1:9" ht="24.95" customHeight="1" x14ac:dyDescent="0.25">
      <c r="A77" s="254">
        <v>311</v>
      </c>
      <c r="B77" s="255"/>
      <c r="C77" s="256"/>
      <c r="D77" s="96" t="s">
        <v>119</v>
      </c>
      <c r="E77" s="105">
        <f>E78</f>
        <v>0</v>
      </c>
      <c r="F77" s="105">
        <f>F78</f>
        <v>0</v>
      </c>
      <c r="G77" s="38"/>
    </row>
    <row r="78" spans="1:9" ht="24.95" customHeight="1" x14ac:dyDescent="0.25">
      <c r="A78" s="251">
        <v>3111</v>
      </c>
      <c r="B78" s="252"/>
      <c r="C78" s="253"/>
      <c r="D78" s="96" t="s">
        <v>120</v>
      </c>
      <c r="E78" s="37"/>
      <c r="F78" s="37"/>
      <c r="G78" s="38"/>
    </row>
    <row r="79" spans="1:9" ht="24.95" customHeight="1" x14ac:dyDescent="0.25">
      <c r="A79" s="254">
        <v>313</v>
      </c>
      <c r="B79" s="255"/>
      <c r="C79" s="256"/>
      <c r="D79" s="96" t="s">
        <v>122</v>
      </c>
      <c r="E79" s="105">
        <f>E80</f>
        <v>0</v>
      </c>
      <c r="F79" s="105">
        <f>F80</f>
        <v>0</v>
      </c>
      <c r="G79" s="38"/>
    </row>
    <row r="80" spans="1:9" ht="24.95" customHeight="1" x14ac:dyDescent="0.25">
      <c r="A80" s="251">
        <v>3132</v>
      </c>
      <c r="B80" s="252"/>
      <c r="C80" s="253"/>
      <c r="D80" s="96" t="s">
        <v>123</v>
      </c>
      <c r="E80" s="37"/>
      <c r="F80" s="37"/>
      <c r="G80" s="38"/>
    </row>
    <row r="81" spans="1:9" ht="24.95" customHeight="1" x14ac:dyDescent="0.25">
      <c r="A81" s="260">
        <v>32</v>
      </c>
      <c r="B81" s="261"/>
      <c r="C81" s="262"/>
      <c r="D81" s="123" t="s">
        <v>79</v>
      </c>
      <c r="E81" s="124"/>
      <c r="F81" s="124">
        <f>F82</f>
        <v>0</v>
      </c>
      <c r="G81" s="125" t="e">
        <f>(F81/E81)*100</f>
        <v>#DIV/0!</v>
      </c>
    </row>
    <row r="82" spans="1:9" ht="24.95" customHeight="1" x14ac:dyDescent="0.25">
      <c r="A82" s="254">
        <v>321</v>
      </c>
      <c r="B82" s="255"/>
      <c r="C82" s="256"/>
      <c r="D82" s="96" t="s">
        <v>124</v>
      </c>
      <c r="E82" s="105">
        <f>E83</f>
        <v>0</v>
      </c>
      <c r="F82" s="105">
        <f>F83</f>
        <v>0</v>
      </c>
      <c r="G82" s="38"/>
    </row>
    <row r="83" spans="1:9" ht="24.95" customHeight="1" x14ac:dyDescent="0.25">
      <c r="A83" s="251">
        <v>3212</v>
      </c>
      <c r="B83" s="252"/>
      <c r="C83" s="253"/>
      <c r="D83" s="96" t="s">
        <v>126</v>
      </c>
      <c r="E83" s="37"/>
      <c r="F83" s="37"/>
      <c r="G83" s="38"/>
    </row>
    <row r="84" spans="1:9" s="58" customFormat="1" ht="24.95" customHeight="1" x14ac:dyDescent="0.25">
      <c r="A84" s="257" t="s">
        <v>76</v>
      </c>
      <c r="B84" s="258"/>
      <c r="C84" s="259"/>
      <c r="D84" s="55" t="s">
        <v>73</v>
      </c>
      <c r="E84" s="56">
        <f>E85</f>
        <v>17353.7</v>
      </c>
      <c r="F84" s="56">
        <f>F85</f>
        <v>17353.7</v>
      </c>
      <c r="G84" s="56">
        <f>(F84/E84)*100</f>
        <v>100</v>
      </c>
      <c r="I84" s="116"/>
    </row>
    <row r="85" spans="1:9" ht="24.95" customHeight="1" x14ac:dyDescent="0.25">
      <c r="A85" s="263">
        <v>3</v>
      </c>
      <c r="B85" s="264"/>
      <c r="C85" s="265"/>
      <c r="D85" s="45" t="s">
        <v>6</v>
      </c>
      <c r="E85" s="37">
        <f>E86+E91</f>
        <v>17353.7</v>
      </c>
      <c r="F85" s="37">
        <f>F86+F91</f>
        <v>17353.7</v>
      </c>
      <c r="G85" s="37"/>
    </row>
    <row r="86" spans="1:9" ht="24.95" customHeight="1" x14ac:dyDescent="0.25">
      <c r="A86" s="260">
        <v>31</v>
      </c>
      <c r="B86" s="261"/>
      <c r="C86" s="262"/>
      <c r="D86" s="123" t="s">
        <v>7</v>
      </c>
      <c r="E86" s="124">
        <f>17035.14</f>
        <v>17035.14</v>
      </c>
      <c r="F86" s="124">
        <f>F87+F89</f>
        <v>17035.14</v>
      </c>
      <c r="G86" s="125">
        <f>(F86/E86)*100</f>
        <v>100</v>
      </c>
    </row>
    <row r="87" spans="1:9" ht="24.95" customHeight="1" x14ac:dyDescent="0.25">
      <c r="A87" s="254">
        <v>311</v>
      </c>
      <c r="B87" s="255"/>
      <c r="C87" s="256"/>
      <c r="D87" s="96" t="s">
        <v>119</v>
      </c>
      <c r="E87" s="105"/>
      <c r="F87" s="105">
        <f>F88</f>
        <v>14857.86</v>
      </c>
      <c r="G87" s="38"/>
    </row>
    <row r="88" spans="1:9" ht="24.95" customHeight="1" x14ac:dyDescent="0.25">
      <c r="A88" s="251">
        <v>3111</v>
      </c>
      <c r="B88" s="252"/>
      <c r="C88" s="253"/>
      <c r="D88" s="96" t="s">
        <v>120</v>
      </c>
      <c r="E88" s="37"/>
      <c r="F88" s="37">
        <v>14857.86</v>
      </c>
      <c r="G88" s="38"/>
    </row>
    <row r="89" spans="1:9" ht="24.95" customHeight="1" x14ac:dyDescent="0.25">
      <c r="A89" s="254">
        <v>313</v>
      </c>
      <c r="B89" s="255"/>
      <c r="C89" s="256"/>
      <c r="D89" s="96" t="s">
        <v>122</v>
      </c>
      <c r="E89" s="105">
        <f>E90</f>
        <v>0</v>
      </c>
      <c r="F89" s="105">
        <f>F90</f>
        <v>2177.2800000000002</v>
      </c>
      <c r="G89" s="38"/>
    </row>
    <row r="90" spans="1:9" ht="24.95" customHeight="1" x14ac:dyDescent="0.25">
      <c r="A90" s="251">
        <v>3132</v>
      </c>
      <c r="B90" s="252"/>
      <c r="C90" s="253"/>
      <c r="D90" s="96" t="s">
        <v>123</v>
      </c>
      <c r="E90" s="37"/>
      <c r="F90" s="37">
        <v>2177.2800000000002</v>
      </c>
      <c r="G90" s="38"/>
    </row>
    <row r="91" spans="1:9" ht="24.95" customHeight="1" x14ac:dyDescent="0.25">
      <c r="A91" s="260">
        <v>32</v>
      </c>
      <c r="B91" s="261"/>
      <c r="C91" s="262"/>
      <c r="D91" s="123" t="s">
        <v>79</v>
      </c>
      <c r="E91" s="124">
        <f>318.56</f>
        <v>318.56</v>
      </c>
      <c r="F91" s="124">
        <f>F92</f>
        <v>318.56</v>
      </c>
      <c r="G91" s="125">
        <f>(F91/E91)*100</f>
        <v>100</v>
      </c>
    </row>
    <row r="92" spans="1:9" ht="24.95" customHeight="1" x14ac:dyDescent="0.25">
      <c r="A92" s="254">
        <v>321</v>
      </c>
      <c r="B92" s="255"/>
      <c r="C92" s="256"/>
      <c r="D92" s="96" t="s">
        <v>124</v>
      </c>
      <c r="E92" s="105"/>
      <c r="F92" s="105">
        <f>F93</f>
        <v>318.56</v>
      </c>
      <c r="G92" s="38"/>
    </row>
    <row r="93" spans="1:9" ht="24.95" customHeight="1" x14ac:dyDescent="0.25">
      <c r="A93" s="251">
        <v>3212</v>
      </c>
      <c r="B93" s="252"/>
      <c r="C93" s="253"/>
      <c r="D93" s="96" t="s">
        <v>126</v>
      </c>
      <c r="E93" s="37"/>
      <c r="F93" s="37">
        <v>318.56</v>
      </c>
      <c r="G93" s="38"/>
    </row>
    <row r="94" spans="1:9" s="58" customFormat="1" ht="24.95" customHeight="1" x14ac:dyDescent="0.25">
      <c r="A94" s="257" t="s">
        <v>62</v>
      </c>
      <c r="B94" s="258"/>
      <c r="C94" s="259"/>
      <c r="D94" s="55" t="s">
        <v>75</v>
      </c>
      <c r="E94" s="56">
        <f>E95</f>
        <v>3147927.78</v>
      </c>
      <c r="F94" s="56">
        <f>F95</f>
        <v>3117521.66</v>
      </c>
      <c r="G94" s="56">
        <f>(F94/E94)*100</f>
        <v>99.034090928223279</v>
      </c>
      <c r="I94" s="116"/>
    </row>
    <row r="95" spans="1:9" ht="24.95" customHeight="1" x14ac:dyDescent="0.25">
      <c r="A95" s="263">
        <v>3</v>
      </c>
      <c r="B95" s="264"/>
      <c r="C95" s="265"/>
      <c r="D95" s="18" t="s">
        <v>6</v>
      </c>
      <c r="E95" s="37">
        <f>E96+E106</f>
        <v>3147927.78</v>
      </c>
      <c r="F95" s="37">
        <f>F96+F106</f>
        <v>3117521.66</v>
      </c>
      <c r="G95" s="37"/>
    </row>
    <row r="96" spans="1:9" ht="24.95" customHeight="1" x14ac:dyDescent="0.25">
      <c r="A96" s="260">
        <v>31</v>
      </c>
      <c r="B96" s="261"/>
      <c r="C96" s="262"/>
      <c r="D96" s="123" t="s">
        <v>7</v>
      </c>
      <c r="E96" s="124">
        <f>E97+E104</f>
        <v>3094234.86</v>
      </c>
      <c r="F96" s="124">
        <f>F98+F100+F102+F104</f>
        <v>3063984.4000000004</v>
      </c>
      <c r="G96" s="125">
        <f>(F96/E96)*100</f>
        <v>99.022360571556632</v>
      </c>
    </row>
    <row r="97" spans="1:7" ht="24.95" customHeight="1" x14ac:dyDescent="0.25">
      <c r="A97" s="46"/>
      <c r="B97" s="47"/>
      <c r="C97" s="48"/>
      <c r="D97" s="53" t="s">
        <v>80</v>
      </c>
      <c r="E97" s="54">
        <f>2570000+109029.86+414000</f>
        <v>3093029.86</v>
      </c>
      <c r="F97" s="54">
        <f>F98+F100+F102</f>
        <v>3063984.4000000004</v>
      </c>
      <c r="G97" s="64"/>
    </row>
    <row r="98" spans="1:7" ht="24.95" customHeight="1" x14ac:dyDescent="0.25">
      <c r="A98" s="254">
        <v>311</v>
      </c>
      <c r="B98" s="255"/>
      <c r="C98" s="256"/>
      <c r="D98" s="96" t="s">
        <v>119</v>
      </c>
      <c r="E98" s="122"/>
      <c r="F98" s="122">
        <f>F99</f>
        <v>2552063.7400000002</v>
      </c>
      <c r="G98" s="64"/>
    </row>
    <row r="99" spans="1:7" ht="24.95" customHeight="1" x14ac:dyDescent="0.25">
      <c r="A99" s="251">
        <v>3111</v>
      </c>
      <c r="B99" s="252"/>
      <c r="C99" s="253"/>
      <c r="D99" s="96" t="s">
        <v>120</v>
      </c>
      <c r="E99" s="54"/>
      <c r="F99" s="54">
        <v>2552063.7400000002</v>
      </c>
      <c r="G99" s="64"/>
    </row>
    <row r="100" spans="1:7" ht="24.95" customHeight="1" x14ac:dyDescent="0.25">
      <c r="A100" s="254">
        <v>312</v>
      </c>
      <c r="B100" s="255"/>
      <c r="C100" s="256"/>
      <c r="D100" s="96" t="s">
        <v>121</v>
      </c>
      <c r="E100" s="122"/>
      <c r="F100" s="122">
        <f>F101</f>
        <v>103650.99</v>
      </c>
      <c r="G100" s="64"/>
    </row>
    <row r="101" spans="1:7" ht="24.95" customHeight="1" x14ac:dyDescent="0.25">
      <c r="A101" s="251">
        <v>3121</v>
      </c>
      <c r="B101" s="252"/>
      <c r="C101" s="253"/>
      <c r="D101" s="96" t="s">
        <v>121</v>
      </c>
      <c r="E101" s="54"/>
      <c r="F101" s="54">
        <v>103650.99</v>
      </c>
      <c r="G101" s="64"/>
    </row>
    <row r="102" spans="1:7" ht="24.95" customHeight="1" x14ac:dyDescent="0.25">
      <c r="A102" s="254">
        <v>313</v>
      </c>
      <c r="B102" s="255"/>
      <c r="C102" s="256"/>
      <c r="D102" s="96" t="s">
        <v>122</v>
      </c>
      <c r="E102" s="122"/>
      <c r="F102" s="122">
        <f>F103</f>
        <v>408269.67</v>
      </c>
      <c r="G102" s="64"/>
    </row>
    <row r="103" spans="1:7" ht="24.95" customHeight="1" x14ac:dyDescent="0.25">
      <c r="A103" s="251">
        <v>3132</v>
      </c>
      <c r="B103" s="252"/>
      <c r="C103" s="253"/>
      <c r="D103" s="96" t="s">
        <v>123</v>
      </c>
      <c r="E103" s="54"/>
      <c r="F103" s="54">
        <v>408269.67</v>
      </c>
      <c r="G103" s="64"/>
    </row>
    <row r="104" spans="1:7" ht="24.95" customHeight="1" x14ac:dyDescent="0.25">
      <c r="A104" s="46"/>
      <c r="B104" s="47"/>
      <c r="C104" s="48"/>
      <c r="D104" s="53" t="s">
        <v>81</v>
      </c>
      <c r="E104" s="54">
        <v>1205</v>
      </c>
      <c r="F104" s="122">
        <f>F105</f>
        <v>0</v>
      </c>
      <c r="G104" s="64"/>
    </row>
    <row r="105" spans="1:7" ht="24.95" customHeight="1" x14ac:dyDescent="0.25">
      <c r="A105" s="251">
        <v>3121</v>
      </c>
      <c r="B105" s="252"/>
      <c r="C105" s="253"/>
      <c r="D105" s="96" t="s">
        <v>121</v>
      </c>
      <c r="E105" s="54"/>
      <c r="F105" s="54"/>
      <c r="G105" s="64"/>
    </row>
    <row r="106" spans="1:7" ht="24.95" customHeight="1" x14ac:dyDescent="0.25">
      <c r="A106" s="260">
        <v>32</v>
      </c>
      <c r="B106" s="261"/>
      <c r="C106" s="262"/>
      <c r="D106" s="123" t="s">
        <v>14</v>
      </c>
      <c r="E106" s="124">
        <f>E107+E109+E111</f>
        <v>53692.92</v>
      </c>
      <c r="F106" s="124">
        <f>F107+F109+F111</f>
        <v>53537.26</v>
      </c>
      <c r="G106" s="125">
        <f>(F106/E106)*100</f>
        <v>99.710092131327571</v>
      </c>
    </row>
    <row r="107" spans="1:7" ht="24.95" customHeight="1" x14ac:dyDescent="0.25">
      <c r="A107" s="46"/>
      <c r="B107" s="47"/>
      <c r="C107" s="48"/>
      <c r="D107" s="53" t="s">
        <v>82</v>
      </c>
      <c r="E107" s="54">
        <v>44000</v>
      </c>
      <c r="F107" s="54">
        <f>F108</f>
        <v>43959.47</v>
      </c>
      <c r="G107" s="64"/>
    </row>
    <row r="108" spans="1:7" ht="24.95" customHeight="1" x14ac:dyDescent="0.25">
      <c r="A108" s="251">
        <v>3212</v>
      </c>
      <c r="B108" s="252"/>
      <c r="C108" s="253"/>
      <c r="D108" s="96" t="s">
        <v>126</v>
      </c>
      <c r="E108" s="54"/>
      <c r="F108" s="54">
        <v>43959.47</v>
      </c>
      <c r="G108" s="64"/>
    </row>
    <row r="109" spans="1:7" ht="24.95" customHeight="1" x14ac:dyDescent="0.25">
      <c r="A109" s="46"/>
      <c r="B109" s="47"/>
      <c r="C109" s="48"/>
      <c r="D109" s="53" t="s">
        <v>83</v>
      </c>
      <c r="E109" s="54">
        <v>8000</v>
      </c>
      <c r="F109" s="54">
        <f>F110</f>
        <v>7952</v>
      </c>
      <c r="G109" s="64"/>
    </row>
    <row r="110" spans="1:7" ht="24.95" customHeight="1" x14ac:dyDescent="0.25">
      <c r="A110" s="251">
        <v>3295</v>
      </c>
      <c r="B110" s="252"/>
      <c r="C110" s="253"/>
      <c r="D110" s="97" t="s">
        <v>150</v>
      </c>
      <c r="E110" s="54"/>
      <c r="F110" s="54">
        <v>7952</v>
      </c>
      <c r="G110" s="64"/>
    </row>
    <row r="111" spans="1:7" ht="24.95" customHeight="1" x14ac:dyDescent="0.25">
      <c r="A111" s="46"/>
      <c r="B111" s="47"/>
      <c r="C111" s="48"/>
      <c r="D111" s="53" t="s">
        <v>84</v>
      </c>
      <c r="E111" s="54">
        <v>1692.92</v>
      </c>
      <c r="F111" s="54">
        <f>F112</f>
        <v>1625.79</v>
      </c>
      <c r="G111" s="64"/>
    </row>
    <row r="112" spans="1:7" ht="24.95" customHeight="1" x14ac:dyDescent="0.25">
      <c r="A112" s="251">
        <v>3237</v>
      </c>
      <c r="B112" s="252"/>
      <c r="C112" s="253"/>
      <c r="D112" s="96" t="s">
        <v>139</v>
      </c>
      <c r="E112" s="54"/>
      <c r="F112" s="54">
        <v>1625.79</v>
      </c>
      <c r="G112" s="64"/>
    </row>
    <row r="113" spans="1:9" s="58" customFormat="1" ht="24.95" customHeight="1" x14ac:dyDescent="0.25">
      <c r="A113" s="257" t="s">
        <v>67</v>
      </c>
      <c r="B113" s="258"/>
      <c r="C113" s="259"/>
      <c r="D113" s="55" t="s">
        <v>31</v>
      </c>
      <c r="E113" s="56">
        <f>E114</f>
        <v>0</v>
      </c>
      <c r="F113" s="56">
        <f t="shared" ref="F113:F114" si="10">F114</f>
        <v>0</v>
      </c>
      <c r="G113" s="56" t="e">
        <f>(F113/E113)*100</f>
        <v>#DIV/0!</v>
      </c>
      <c r="I113" s="116"/>
    </row>
    <row r="114" spans="1:9" ht="24.95" customHeight="1" x14ac:dyDescent="0.25">
      <c r="A114" s="263">
        <v>3</v>
      </c>
      <c r="B114" s="264"/>
      <c r="C114" s="265"/>
      <c r="D114" s="45" t="s">
        <v>6</v>
      </c>
      <c r="E114" s="37">
        <f>E115</f>
        <v>0</v>
      </c>
      <c r="F114" s="37">
        <f t="shared" si="10"/>
        <v>0</v>
      </c>
      <c r="G114" s="37"/>
    </row>
    <row r="115" spans="1:9" ht="24.95" customHeight="1" x14ac:dyDescent="0.25">
      <c r="A115" s="260">
        <v>31</v>
      </c>
      <c r="B115" s="261"/>
      <c r="C115" s="262"/>
      <c r="D115" s="123" t="s">
        <v>90</v>
      </c>
      <c r="E115" s="124"/>
      <c r="F115" s="124"/>
      <c r="G115" s="125" t="e">
        <f>(F115/E115)*100</f>
        <v>#DIV/0!</v>
      </c>
    </row>
    <row r="116" spans="1:9" ht="24.95" customHeight="1" x14ac:dyDescent="0.25">
      <c r="A116" s="269" t="s">
        <v>44</v>
      </c>
      <c r="B116" s="270"/>
      <c r="C116" s="271"/>
      <c r="D116" s="44" t="s">
        <v>45</v>
      </c>
      <c r="E116" s="51">
        <f>E117+E127+E145+E169+E194+E217+E230+E240+E186+E176</f>
        <v>392630.88</v>
      </c>
      <c r="F116" s="51">
        <f>F117+F127+F145+F169+F194+F217+F230+F240+F186+F176</f>
        <v>371815.76</v>
      </c>
      <c r="G116" s="51"/>
    </row>
    <row r="117" spans="1:9" s="59" customFormat="1" ht="24.95" customHeight="1" x14ac:dyDescent="0.2">
      <c r="A117" s="257" t="s">
        <v>64</v>
      </c>
      <c r="B117" s="258"/>
      <c r="C117" s="259"/>
      <c r="D117" s="55" t="s">
        <v>65</v>
      </c>
      <c r="E117" s="56">
        <f>E118</f>
        <v>1885</v>
      </c>
      <c r="F117" s="56">
        <f t="shared" ref="F117" si="11">F118</f>
        <v>748.27</v>
      </c>
      <c r="G117" s="56">
        <f>(F117/E117)*100</f>
        <v>39.696021220159153</v>
      </c>
      <c r="I117" s="117"/>
    </row>
    <row r="118" spans="1:9" ht="24.95" customHeight="1" x14ac:dyDescent="0.25">
      <c r="A118" s="263">
        <v>3</v>
      </c>
      <c r="B118" s="264"/>
      <c r="C118" s="265"/>
      <c r="D118" s="18" t="s">
        <v>6</v>
      </c>
      <c r="E118" s="37">
        <f>E119+E126</f>
        <v>1885</v>
      </c>
      <c r="F118" s="37">
        <f>F119+F126</f>
        <v>748.27</v>
      </c>
      <c r="G118" s="37"/>
    </row>
    <row r="119" spans="1:9" ht="24.95" customHeight="1" x14ac:dyDescent="0.25">
      <c r="A119" s="260">
        <v>32</v>
      </c>
      <c r="B119" s="261"/>
      <c r="C119" s="262"/>
      <c r="D119" s="123" t="s">
        <v>92</v>
      </c>
      <c r="E119" s="124">
        <v>1785</v>
      </c>
      <c r="F119" s="124">
        <f>SUM(F120:F125)</f>
        <v>748.27</v>
      </c>
      <c r="G119" s="125">
        <f>(F119/E119)*100</f>
        <v>41.91988795518207</v>
      </c>
    </row>
    <row r="120" spans="1:9" ht="24.95" customHeight="1" x14ac:dyDescent="0.25">
      <c r="A120" s="251">
        <v>3221</v>
      </c>
      <c r="B120" s="252"/>
      <c r="C120" s="253"/>
      <c r="D120" s="96" t="s">
        <v>130</v>
      </c>
      <c r="E120" s="37"/>
      <c r="F120" s="37">
        <f>0.21+55.96</f>
        <v>56.17</v>
      </c>
      <c r="G120" s="56"/>
    </row>
    <row r="121" spans="1:9" ht="24.95" customHeight="1" x14ac:dyDescent="0.25">
      <c r="A121" s="251">
        <v>3231</v>
      </c>
      <c r="B121" s="252"/>
      <c r="C121" s="253"/>
      <c r="D121" s="96" t="s">
        <v>135</v>
      </c>
      <c r="E121" s="37"/>
      <c r="F121" s="37">
        <v>362.99</v>
      </c>
      <c r="G121" s="56"/>
    </row>
    <row r="122" spans="1:9" ht="24.95" customHeight="1" x14ac:dyDescent="0.25">
      <c r="A122" s="251">
        <v>3234</v>
      </c>
      <c r="B122" s="252"/>
      <c r="C122" s="253"/>
      <c r="D122" s="96" t="s">
        <v>138</v>
      </c>
      <c r="E122" s="37"/>
      <c r="F122" s="37">
        <v>48.98</v>
      </c>
      <c r="G122" s="56"/>
    </row>
    <row r="123" spans="1:9" ht="24.95" customHeight="1" x14ac:dyDescent="0.25">
      <c r="A123" s="251">
        <v>3238</v>
      </c>
      <c r="B123" s="252"/>
      <c r="C123" s="253"/>
      <c r="D123" s="96" t="s">
        <v>140</v>
      </c>
      <c r="E123" s="37"/>
      <c r="F123" s="37">
        <v>149.34</v>
      </c>
      <c r="G123" s="56"/>
    </row>
    <row r="124" spans="1:9" ht="24.95" customHeight="1" x14ac:dyDescent="0.25">
      <c r="A124" s="251">
        <v>3239</v>
      </c>
      <c r="B124" s="252"/>
      <c r="C124" s="253"/>
      <c r="D124" s="96" t="s">
        <v>141</v>
      </c>
      <c r="E124" s="37"/>
      <c r="F124" s="37">
        <v>81.25</v>
      </c>
      <c r="G124" s="56"/>
    </row>
    <row r="125" spans="1:9" ht="24.95" customHeight="1" x14ac:dyDescent="0.25">
      <c r="A125" s="251">
        <v>3299</v>
      </c>
      <c r="B125" s="252"/>
      <c r="C125" s="253"/>
      <c r="D125" s="96" t="s">
        <v>142</v>
      </c>
      <c r="E125" s="37"/>
      <c r="F125" s="37">
        <v>49.54</v>
      </c>
      <c r="G125" s="56"/>
    </row>
    <row r="126" spans="1:9" ht="36.75" customHeight="1" x14ac:dyDescent="0.25">
      <c r="A126" s="260">
        <v>37</v>
      </c>
      <c r="B126" s="261"/>
      <c r="C126" s="262"/>
      <c r="D126" s="127" t="s">
        <v>93</v>
      </c>
      <c r="E126" s="124">
        <v>100</v>
      </c>
      <c r="F126" s="124"/>
      <c r="G126" s="125">
        <f>(F126/E126)*100</f>
        <v>0</v>
      </c>
    </row>
    <row r="127" spans="1:9" s="59" customFormat="1" ht="24.95" customHeight="1" x14ac:dyDescent="0.2">
      <c r="A127" s="257" t="s">
        <v>86</v>
      </c>
      <c r="B127" s="258"/>
      <c r="C127" s="259"/>
      <c r="D127" s="55" t="s">
        <v>69</v>
      </c>
      <c r="E127" s="56">
        <f>E128</f>
        <v>1308.75</v>
      </c>
      <c r="F127" s="56">
        <f>F128</f>
        <v>1308.75</v>
      </c>
      <c r="G127" s="56">
        <f>(F127/E127)*100</f>
        <v>100</v>
      </c>
      <c r="I127" s="117"/>
    </row>
    <row r="128" spans="1:9" ht="24.95" customHeight="1" x14ac:dyDescent="0.25">
      <c r="A128" s="260">
        <v>32</v>
      </c>
      <c r="B128" s="261"/>
      <c r="C128" s="262"/>
      <c r="D128" s="123" t="s">
        <v>14</v>
      </c>
      <c r="E128" s="124">
        <v>1308.75</v>
      </c>
      <c r="F128" s="124">
        <f>F129+F131+F133+F137+F139</f>
        <v>1308.75</v>
      </c>
      <c r="G128" s="125">
        <f>(F128/E128)*100</f>
        <v>100</v>
      </c>
    </row>
    <row r="129" spans="1:7" ht="24.95" customHeight="1" x14ac:dyDescent="0.25">
      <c r="A129" s="254">
        <v>321</v>
      </c>
      <c r="B129" s="255"/>
      <c r="C129" s="256"/>
      <c r="D129" s="96" t="s">
        <v>124</v>
      </c>
      <c r="E129" s="105"/>
      <c r="F129" s="105">
        <f>F130</f>
        <v>205.8</v>
      </c>
      <c r="G129" s="56"/>
    </row>
    <row r="130" spans="1:7" ht="24.95" customHeight="1" x14ac:dyDescent="0.25">
      <c r="A130" s="251">
        <v>3211</v>
      </c>
      <c r="B130" s="252"/>
      <c r="C130" s="253"/>
      <c r="D130" s="96" t="s">
        <v>125</v>
      </c>
      <c r="E130" s="37"/>
      <c r="F130" s="37">
        <f>61.18+144.62</f>
        <v>205.8</v>
      </c>
      <c r="G130" s="56"/>
    </row>
    <row r="131" spans="1:7" ht="24.95" customHeight="1" x14ac:dyDescent="0.25">
      <c r="A131" s="254">
        <v>322</v>
      </c>
      <c r="B131" s="255"/>
      <c r="C131" s="256"/>
      <c r="D131" s="96" t="s">
        <v>129</v>
      </c>
      <c r="E131" s="105"/>
      <c r="F131" s="105">
        <f>F132</f>
        <v>32.340000000000003</v>
      </c>
      <c r="G131" s="56"/>
    </row>
    <row r="132" spans="1:7" ht="24.95" customHeight="1" x14ac:dyDescent="0.25">
      <c r="A132" s="251">
        <v>3221</v>
      </c>
      <c r="B132" s="252"/>
      <c r="C132" s="253"/>
      <c r="D132" s="96" t="s">
        <v>130</v>
      </c>
      <c r="E132" s="37"/>
      <c r="F132" s="37">
        <f>32.34</f>
        <v>32.340000000000003</v>
      </c>
      <c r="G132" s="56"/>
    </row>
    <row r="133" spans="1:7" ht="24.95" customHeight="1" x14ac:dyDescent="0.25">
      <c r="A133" s="254">
        <v>323</v>
      </c>
      <c r="B133" s="255"/>
      <c r="C133" s="256"/>
      <c r="D133" s="96" t="s">
        <v>134</v>
      </c>
      <c r="E133" s="105"/>
      <c r="F133" s="105">
        <f>F136+F134+F135</f>
        <v>268.67</v>
      </c>
      <c r="G133" s="56"/>
    </row>
    <row r="134" spans="1:7" ht="24.95" customHeight="1" x14ac:dyDescent="0.25">
      <c r="A134" s="251">
        <v>3231</v>
      </c>
      <c r="B134" s="252"/>
      <c r="C134" s="253"/>
      <c r="D134" s="96" t="s">
        <v>135</v>
      </c>
      <c r="E134" s="105"/>
      <c r="F134" s="37">
        <f>17.01</f>
        <v>17.010000000000002</v>
      </c>
      <c r="G134" s="56"/>
    </row>
    <row r="135" spans="1:7" ht="24.95" customHeight="1" x14ac:dyDescent="0.25">
      <c r="A135" s="251">
        <v>3238</v>
      </c>
      <c r="B135" s="252"/>
      <c r="C135" s="253"/>
      <c r="D135" s="96" t="s">
        <v>140</v>
      </c>
      <c r="E135" s="105"/>
      <c r="F135" s="37">
        <f>1.66</f>
        <v>1.66</v>
      </c>
      <c r="G135" s="56"/>
    </row>
    <row r="136" spans="1:7" ht="24.95" customHeight="1" x14ac:dyDescent="0.25">
      <c r="A136" s="251">
        <v>3239</v>
      </c>
      <c r="B136" s="252"/>
      <c r="C136" s="253"/>
      <c r="D136" s="96" t="s">
        <v>141</v>
      </c>
      <c r="E136" s="37"/>
      <c r="F136" s="37">
        <f>50+200</f>
        <v>250</v>
      </c>
      <c r="G136" s="56"/>
    </row>
    <row r="137" spans="1:7" ht="24.95" customHeight="1" x14ac:dyDescent="0.25">
      <c r="A137" s="254">
        <v>324</v>
      </c>
      <c r="B137" s="255"/>
      <c r="C137" s="256"/>
      <c r="D137" s="96" t="s">
        <v>146</v>
      </c>
      <c r="E137" s="105"/>
      <c r="F137" s="105">
        <f>F138</f>
        <v>0</v>
      </c>
      <c r="G137" s="56"/>
    </row>
    <row r="138" spans="1:7" ht="24.95" customHeight="1" x14ac:dyDescent="0.25">
      <c r="A138" s="251">
        <v>3241</v>
      </c>
      <c r="B138" s="252"/>
      <c r="C138" s="253"/>
      <c r="D138" s="96" t="s">
        <v>146</v>
      </c>
      <c r="E138" s="37"/>
      <c r="F138" s="37"/>
      <c r="G138" s="56"/>
    </row>
    <row r="139" spans="1:7" ht="24.95" customHeight="1" x14ac:dyDescent="0.25">
      <c r="A139" s="254">
        <v>329</v>
      </c>
      <c r="B139" s="255"/>
      <c r="C139" s="256"/>
      <c r="D139" s="96" t="s">
        <v>142</v>
      </c>
      <c r="E139" s="105"/>
      <c r="F139" s="105">
        <f>SUM(F140:F144)</f>
        <v>801.94</v>
      </c>
      <c r="G139" s="56"/>
    </row>
    <row r="140" spans="1:7" ht="24.95" customHeight="1" x14ac:dyDescent="0.25">
      <c r="A140" s="251">
        <v>3292</v>
      </c>
      <c r="B140" s="252"/>
      <c r="C140" s="253"/>
      <c r="D140" s="96" t="s">
        <v>143</v>
      </c>
      <c r="E140" s="37"/>
      <c r="F140" s="37"/>
      <c r="G140" s="56"/>
    </row>
    <row r="141" spans="1:7" ht="24.95" customHeight="1" x14ac:dyDescent="0.25">
      <c r="A141" s="251">
        <v>3293</v>
      </c>
      <c r="B141" s="252"/>
      <c r="C141" s="253"/>
      <c r="D141" s="96" t="s">
        <v>144</v>
      </c>
      <c r="E141" s="37"/>
      <c r="F141" s="37"/>
      <c r="G141" s="56"/>
    </row>
    <row r="142" spans="1:7" ht="24.95" customHeight="1" x14ac:dyDescent="0.25">
      <c r="A142" s="251">
        <v>3294</v>
      </c>
      <c r="B142" s="252"/>
      <c r="C142" s="253"/>
      <c r="D142" s="96" t="s">
        <v>145</v>
      </c>
      <c r="E142" s="37"/>
      <c r="F142" s="37">
        <f>25</f>
        <v>25</v>
      </c>
      <c r="G142" s="56"/>
    </row>
    <row r="143" spans="1:7" ht="24.95" customHeight="1" x14ac:dyDescent="0.25">
      <c r="A143" s="251">
        <v>3295</v>
      </c>
      <c r="B143" s="252"/>
      <c r="C143" s="253"/>
      <c r="D143" s="96" t="s">
        <v>150</v>
      </c>
      <c r="E143" s="37"/>
      <c r="F143" s="37">
        <v>102.93</v>
      </c>
      <c r="G143" s="56"/>
    </row>
    <row r="144" spans="1:7" ht="24.95" customHeight="1" x14ac:dyDescent="0.25">
      <c r="A144" s="251">
        <v>3299</v>
      </c>
      <c r="B144" s="252"/>
      <c r="C144" s="253"/>
      <c r="D144" s="96" t="s">
        <v>142</v>
      </c>
      <c r="E144" s="37"/>
      <c r="F144" s="37">
        <v>674.01</v>
      </c>
      <c r="G144" s="56"/>
    </row>
    <row r="145" spans="1:9" s="59" customFormat="1" ht="24.95" customHeight="1" x14ac:dyDescent="0.2">
      <c r="A145" s="257" t="s">
        <v>66</v>
      </c>
      <c r="B145" s="258"/>
      <c r="C145" s="259"/>
      <c r="D145" s="55" t="s">
        <v>94</v>
      </c>
      <c r="E145" s="56">
        <f>E146</f>
        <v>77440</v>
      </c>
      <c r="F145" s="56">
        <f>F146</f>
        <v>67507.009999999995</v>
      </c>
      <c r="G145" s="56">
        <f>(F145/E145)*100</f>
        <v>87.173308367768584</v>
      </c>
      <c r="I145" s="117"/>
    </row>
    <row r="146" spans="1:9" ht="24.95" customHeight="1" x14ac:dyDescent="0.25">
      <c r="A146" s="263">
        <v>3</v>
      </c>
      <c r="B146" s="264"/>
      <c r="C146" s="265"/>
      <c r="D146" s="18" t="s">
        <v>6</v>
      </c>
      <c r="E146" s="37">
        <f>E147+E167</f>
        <v>77440</v>
      </c>
      <c r="F146" s="37">
        <f>F147+F167</f>
        <v>67507.009999999995</v>
      </c>
      <c r="G146" s="37"/>
    </row>
    <row r="147" spans="1:9" ht="24.95" customHeight="1" x14ac:dyDescent="0.25">
      <c r="A147" s="260">
        <v>32</v>
      </c>
      <c r="B147" s="261"/>
      <c r="C147" s="262"/>
      <c r="D147" s="123" t="s">
        <v>14</v>
      </c>
      <c r="E147" s="124">
        <f>77000+340+50</f>
        <v>77390</v>
      </c>
      <c r="F147" s="124">
        <f>F148+F150+F155+F164</f>
        <v>67507.009999999995</v>
      </c>
      <c r="G147" s="125">
        <f>(F147/E147)*100</f>
        <v>87.229629151053103</v>
      </c>
    </row>
    <row r="148" spans="1:9" ht="24.95" customHeight="1" x14ac:dyDescent="0.25">
      <c r="A148" s="254">
        <v>321</v>
      </c>
      <c r="B148" s="255"/>
      <c r="C148" s="256"/>
      <c r="D148" s="96" t="s">
        <v>124</v>
      </c>
      <c r="E148" s="105"/>
      <c r="F148" s="105">
        <f>F149</f>
        <v>36.5</v>
      </c>
      <c r="G148" s="56"/>
    </row>
    <row r="149" spans="1:9" ht="24.95" customHeight="1" x14ac:dyDescent="0.25">
      <c r="A149" s="251">
        <v>3213</v>
      </c>
      <c r="B149" s="252"/>
      <c r="C149" s="253"/>
      <c r="D149" s="96" t="s">
        <v>127</v>
      </c>
      <c r="E149" s="37"/>
      <c r="F149" s="37">
        <v>36.5</v>
      </c>
      <c r="G149" s="56"/>
    </row>
    <row r="150" spans="1:9" ht="24.95" customHeight="1" x14ac:dyDescent="0.25">
      <c r="A150" s="254">
        <v>322</v>
      </c>
      <c r="B150" s="255"/>
      <c r="C150" s="256"/>
      <c r="D150" s="96" t="s">
        <v>129</v>
      </c>
      <c r="E150" s="105"/>
      <c r="F150" s="105">
        <f>SUM(F151:F154)</f>
        <v>59209.619999999995</v>
      </c>
      <c r="G150" s="56"/>
    </row>
    <row r="151" spans="1:9" ht="24.95" customHeight="1" x14ac:dyDescent="0.25">
      <c r="A151" s="251">
        <v>3221</v>
      </c>
      <c r="B151" s="252"/>
      <c r="C151" s="253"/>
      <c r="D151" s="96" t="s">
        <v>130</v>
      </c>
      <c r="E151" s="37"/>
      <c r="F151" s="37">
        <v>12457.35</v>
      </c>
      <c r="G151" s="56"/>
    </row>
    <row r="152" spans="1:9" ht="24.95" customHeight="1" x14ac:dyDescent="0.25">
      <c r="A152" s="251">
        <v>3222</v>
      </c>
      <c r="B152" s="252"/>
      <c r="C152" s="253"/>
      <c r="D152" s="96" t="s">
        <v>131</v>
      </c>
      <c r="E152" s="37"/>
      <c r="F152" s="37">
        <v>45149.74</v>
      </c>
      <c r="G152" s="56"/>
    </row>
    <row r="153" spans="1:9" ht="24.95" customHeight="1" x14ac:dyDescent="0.25">
      <c r="A153" s="251">
        <v>3225</v>
      </c>
      <c r="B153" s="252"/>
      <c r="C153" s="253"/>
      <c r="D153" s="96" t="s">
        <v>133</v>
      </c>
      <c r="E153" s="37"/>
      <c r="F153" s="37">
        <v>953.38</v>
      </c>
      <c r="G153" s="56"/>
    </row>
    <row r="154" spans="1:9" ht="24.95" customHeight="1" x14ac:dyDescent="0.25">
      <c r="A154" s="251">
        <v>3227</v>
      </c>
      <c r="B154" s="252"/>
      <c r="C154" s="253"/>
      <c r="D154" s="96" t="s">
        <v>147</v>
      </c>
      <c r="E154" s="37"/>
      <c r="F154" s="37">
        <v>649.15</v>
      </c>
      <c r="G154" s="56"/>
    </row>
    <row r="155" spans="1:9" ht="24.95" customHeight="1" x14ac:dyDescent="0.25">
      <c r="A155" s="254">
        <v>323</v>
      </c>
      <c r="B155" s="255"/>
      <c r="C155" s="256"/>
      <c r="D155" s="96" t="s">
        <v>134</v>
      </c>
      <c r="E155" s="105"/>
      <c r="F155" s="105">
        <f>SUM(F156:F163)</f>
        <v>7995.64</v>
      </c>
      <c r="G155" s="56"/>
    </row>
    <row r="156" spans="1:9" ht="24.95" customHeight="1" x14ac:dyDescent="0.25">
      <c r="A156" s="251">
        <v>3231</v>
      </c>
      <c r="B156" s="252"/>
      <c r="C156" s="253"/>
      <c r="D156" s="96" t="s">
        <v>135</v>
      </c>
      <c r="E156" s="105"/>
      <c r="F156" s="37">
        <v>39.97</v>
      </c>
      <c r="G156" s="56"/>
    </row>
    <row r="157" spans="1:9" ht="24.95" customHeight="1" x14ac:dyDescent="0.25">
      <c r="A157" s="251">
        <v>3232</v>
      </c>
      <c r="B157" s="252"/>
      <c r="C157" s="253"/>
      <c r="D157" s="96" t="s">
        <v>136</v>
      </c>
      <c r="E157" s="37"/>
      <c r="F157" s="37"/>
      <c r="G157" s="56"/>
    </row>
    <row r="158" spans="1:9" ht="24.95" customHeight="1" x14ac:dyDescent="0.25">
      <c r="A158" s="251">
        <v>3233</v>
      </c>
      <c r="B158" s="252"/>
      <c r="C158" s="253"/>
      <c r="D158" s="96" t="s">
        <v>137</v>
      </c>
      <c r="E158" s="37"/>
      <c r="F158" s="37">
        <v>248.85</v>
      </c>
      <c r="G158" s="56"/>
    </row>
    <row r="159" spans="1:9" ht="24.95" customHeight="1" x14ac:dyDescent="0.25">
      <c r="A159" s="251">
        <v>3234</v>
      </c>
      <c r="B159" s="252"/>
      <c r="C159" s="253"/>
      <c r="D159" s="96" t="s">
        <v>138</v>
      </c>
      <c r="E159" s="37"/>
      <c r="F159" s="37">
        <v>3948.78</v>
      </c>
      <c r="G159" s="56"/>
    </row>
    <row r="160" spans="1:9" ht="24.95" customHeight="1" x14ac:dyDescent="0.25">
      <c r="A160" s="251">
        <v>3236</v>
      </c>
      <c r="B160" s="252"/>
      <c r="C160" s="253"/>
      <c r="D160" s="97" t="s">
        <v>148</v>
      </c>
      <c r="E160" s="37"/>
      <c r="F160" s="37">
        <v>485.8</v>
      </c>
      <c r="G160" s="56"/>
    </row>
    <row r="161" spans="1:9" ht="24.95" customHeight="1" x14ac:dyDescent="0.25">
      <c r="A161" s="251">
        <v>3237</v>
      </c>
      <c r="B161" s="252"/>
      <c r="C161" s="253"/>
      <c r="D161" s="96" t="s">
        <v>139</v>
      </c>
      <c r="E161" s="37"/>
      <c r="F161" s="37">
        <v>900</v>
      </c>
      <c r="G161" s="56"/>
    </row>
    <row r="162" spans="1:9" ht="24.95" customHeight="1" x14ac:dyDescent="0.25">
      <c r="A162" s="251">
        <v>3238</v>
      </c>
      <c r="B162" s="252"/>
      <c r="C162" s="253"/>
      <c r="D162" s="97" t="s">
        <v>140</v>
      </c>
      <c r="E162" s="37"/>
      <c r="F162" s="37">
        <v>196.25</v>
      </c>
      <c r="G162" s="56"/>
    </row>
    <row r="163" spans="1:9" ht="24.95" customHeight="1" x14ac:dyDescent="0.25">
      <c r="A163" s="251">
        <v>3239</v>
      </c>
      <c r="B163" s="252"/>
      <c r="C163" s="253"/>
      <c r="D163" s="96" t="s">
        <v>141</v>
      </c>
      <c r="E163" s="37"/>
      <c r="F163" s="37">
        <v>2175.9899999999998</v>
      </c>
      <c r="G163" s="56"/>
    </row>
    <row r="164" spans="1:9" ht="24.95" customHeight="1" x14ac:dyDescent="0.25">
      <c r="A164" s="254">
        <v>329</v>
      </c>
      <c r="B164" s="255"/>
      <c r="C164" s="256"/>
      <c r="D164" s="96" t="s">
        <v>142</v>
      </c>
      <c r="E164" s="105"/>
      <c r="F164" s="105">
        <f>F165+F166</f>
        <v>265.25</v>
      </c>
      <c r="G164" s="56"/>
    </row>
    <row r="165" spans="1:9" ht="24.95" customHeight="1" x14ac:dyDescent="0.25">
      <c r="A165" s="251">
        <v>3291</v>
      </c>
      <c r="B165" s="252"/>
      <c r="C165" s="253"/>
      <c r="D165" s="96" t="s">
        <v>149</v>
      </c>
      <c r="E165" s="37"/>
      <c r="F165" s="37">
        <v>265.25</v>
      </c>
      <c r="G165" s="56"/>
    </row>
    <row r="166" spans="1:9" ht="24.95" customHeight="1" x14ac:dyDescent="0.25">
      <c r="A166" s="251">
        <v>3293</v>
      </c>
      <c r="B166" s="252"/>
      <c r="C166" s="253"/>
      <c r="D166" s="96" t="s">
        <v>144</v>
      </c>
      <c r="E166" s="37"/>
      <c r="F166" s="37"/>
      <c r="G166" s="56"/>
    </row>
    <row r="167" spans="1:9" ht="24.95" customHeight="1" x14ac:dyDescent="0.25">
      <c r="A167" s="260">
        <v>37</v>
      </c>
      <c r="B167" s="261"/>
      <c r="C167" s="262"/>
      <c r="D167" s="127" t="s">
        <v>22</v>
      </c>
      <c r="E167" s="124">
        <v>50</v>
      </c>
      <c r="F167" s="124">
        <f>F168</f>
        <v>0</v>
      </c>
      <c r="G167" s="125">
        <f>(F167/E167)*100</f>
        <v>0</v>
      </c>
    </row>
    <row r="168" spans="1:9" ht="24.95" customHeight="1" x14ac:dyDescent="0.25">
      <c r="A168" s="251">
        <v>3722</v>
      </c>
      <c r="B168" s="252"/>
      <c r="C168" s="253"/>
      <c r="D168" s="96" t="s">
        <v>156</v>
      </c>
      <c r="E168" s="37"/>
      <c r="F168" s="37"/>
      <c r="G168" s="56"/>
    </row>
    <row r="169" spans="1:9" s="59" customFormat="1" ht="24.95" customHeight="1" x14ac:dyDescent="0.2">
      <c r="A169" s="257" t="s">
        <v>87</v>
      </c>
      <c r="B169" s="258"/>
      <c r="C169" s="259"/>
      <c r="D169" s="55" t="s">
        <v>71</v>
      </c>
      <c r="E169" s="56">
        <f>E170</f>
        <v>1700</v>
      </c>
      <c r="F169" s="56">
        <f t="shared" ref="F169" si="12">F170</f>
        <v>1700</v>
      </c>
      <c r="G169" s="56">
        <f>(F169/E169)*100</f>
        <v>100</v>
      </c>
      <c r="I169" s="117"/>
    </row>
    <row r="170" spans="1:9" ht="24.95" customHeight="1" x14ac:dyDescent="0.25">
      <c r="A170" s="260">
        <v>32</v>
      </c>
      <c r="B170" s="261"/>
      <c r="C170" s="262"/>
      <c r="D170" s="123" t="s">
        <v>14</v>
      </c>
      <c r="E170" s="124">
        <v>1700</v>
      </c>
      <c r="F170" s="124">
        <f>F171+F173</f>
        <v>1700</v>
      </c>
      <c r="G170" s="125">
        <f>(F170/E170)*100</f>
        <v>100</v>
      </c>
    </row>
    <row r="171" spans="1:9" ht="24.95" customHeight="1" x14ac:dyDescent="0.25">
      <c r="A171" s="254">
        <v>322</v>
      </c>
      <c r="B171" s="255"/>
      <c r="C171" s="256"/>
      <c r="D171" s="96" t="s">
        <v>129</v>
      </c>
      <c r="E171" s="105"/>
      <c r="F171" s="105">
        <f>F172</f>
        <v>0</v>
      </c>
      <c r="G171" s="56"/>
    </row>
    <row r="172" spans="1:9" ht="24.95" customHeight="1" x14ac:dyDescent="0.25">
      <c r="A172" s="251">
        <v>3221</v>
      </c>
      <c r="B172" s="252"/>
      <c r="C172" s="253"/>
      <c r="D172" s="96" t="s">
        <v>130</v>
      </c>
      <c r="E172" s="37"/>
      <c r="F172" s="37"/>
      <c r="G172" s="56"/>
    </row>
    <row r="173" spans="1:9" ht="24.95" customHeight="1" x14ac:dyDescent="0.25">
      <c r="A173" s="254">
        <v>323</v>
      </c>
      <c r="B173" s="255"/>
      <c r="C173" s="256"/>
      <c r="D173" s="96" t="s">
        <v>134</v>
      </c>
      <c r="E173" s="105"/>
      <c r="F173" s="105">
        <f>F174+F175</f>
        <v>1700</v>
      </c>
      <c r="G173" s="56"/>
    </row>
    <row r="174" spans="1:9" ht="24.95" customHeight="1" x14ac:dyDescent="0.25">
      <c r="A174" s="251">
        <v>3234</v>
      </c>
      <c r="B174" s="252"/>
      <c r="C174" s="253"/>
      <c r="D174" s="96" t="s">
        <v>138</v>
      </c>
      <c r="E174" s="37"/>
      <c r="F174" s="37"/>
      <c r="G174" s="56"/>
    </row>
    <row r="175" spans="1:9" ht="24.95" customHeight="1" x14ac:dyDescent="0.25">
      <c r="A175" s="251">
        <v>3239</v>
      </c>
      <c r="B175" s="252"/>
      <c r="C175" s="253"/>
      <c r="D175" s="96" t="s">
        <v>141</v>
      </c>
      <c r="E175" s="37"/>
      <c r="F175" s="37">
        <v>1700</v>
      </c>
      <c r="G175" s="56"/>
    </row>
    <row r="176" spans="1:9" ht="24.95" customHeight="1" x14ac:dyDescent="0.25">
      <c r="A176" s="257" t="s">
        <v>77</v>
      </c>
      <c r="B176" s="258"/>
      <c r="C176" s="259"/>
      <c r="D176" s="196" t="s">
        <v>244</v>
      </c>
      <c r="E176" s="74">
        <f>E177</f>
        <v>4952.91</v>
      </c>
      <c r="F176" s="106">
        <f>F177</f>
        <v>3818.14</v>
      </c>
      <c r="G176" s="56">
        <f>(F176/E176)*100</f>
        <v>77.08882253059312</v>
      </c>
    </row>
    <row r="177" spans="1:7" ht="24.95" customHeight="1" x14ac:dyDescent="0.25">
      <c r="A177" s="260">
        <v>32</v>
      </c>
      <c r="B177" s="261"/>
      <c r="C177" s="262"/>
      <c r="D177" s="123" t="s">
        <v>14</v>
      </c>
      <c r="E177" s="124">
        <v>4952.91</v>
      </c>
      <c r="F177" s="124">
        <f>F178+F181+F184</f>
        <v>3818.14</v>
      </c>
      <c r="G177" s="125">
        <f>(F177/E177)*100</f>
        <v>77.08882253059312</v>
      </c>
    </row>
    <row r="178" spans="1:7" ht="24.95" customHeight="1" x14ac:dyDescent="0.25">
      <c r="A178" s="254">
        <v>322</v>
      </c>
      <c r="B178" s="255"/>
      <c r="C178" s="256"/>
      <c r="D178" s="96" t="s">
        <v>129</v>
      </c>
      <c r="E178" s="105"/>
      <c r="F178" s="105">
        <f>F179+F180</f>
        <v>904.18</v>
      </c>
      <c r="G178" s="56"/>
    </row>
    <row r="179" spans="1:7" ht="24.95" customHeight="1" x14ac:dyDescent="0.25">
      <c r="A179" s="251">
        <v>3221</v>
      </c>
      <c r="B179" s="252"/>
      <c r="C179" s="253"/>
      <c r="D179" s="96" t="s">
        <v>130</v>
      </c>
      <c r="E179" s="37"/>
      <c r="F179" s="37">
        <v>83.38</v>
      </c>
      <c r="G179" s="56"/>
    </row>
    <row r="180" spans="1:7" ht="24.95" customHeight="1" x14ac:dyDescent="0.25">
      <c r="A180" s="251">
        <v>3225</v>
      </c>
      <c r="B180" s="252"/>
      <c r="C180" s="253"/>
      <c r="D180" s="96" t="s">
        <v>133</v>
      </c>
      <c r="E180" s="37"/>
      <c r="F180" s="37">
        <v>820.8</v>
      </c>
      <c r="G180" s="56"/>
    </row>
    <row r="181" spans="1:7" ht="24.95" customHeight="1" x14ac:dyDescent="0.25">
      <c r="A181" s="254">
        <v>323</v>
      </c>
      <c r="B181" s="255"/>
      <c r="C181" s="256"/>
      <c r="D181" s="96" t="s">
        <v>134</v>
      </c>
      <c r="E181" s="105"/>
      <c r="F181" s="105">
        <f>F182+F183</f>
        <v>1033.96</v>
      </c>
      <c r="G181" s="56"/>
    </row>
    <row r="182" spans="1:7" ht="24.95" customHeight="1" x14ac:dyDescent="0.25">
      <c r="A182" s="251">
        <v>3233</v>
      </c>
      <c r="B182" s="252"/>
      <c r="C182" s="253"/>
      <c r="D182" s="96" t="s">
        <v>137</v>
      </c>
      <c r="E182" s="37"/>
      <c r="F182" s="37">
        <v>908.96</v>
      </c>
      <c r="G182" s="56"/>
    </row>
    <row r="183" spans="1:7" ht="24.95" customHeight="1" x14ac:dyDescent="0.25">
      <c r="A183" s="251">
        <v>3239</v>
      </c>
      <c r="B183" s="252"/>
      <c r="C183" s="253"/>
      <c r="D183" s="96" t="s">
        <v>141</v>
      </c>
      <c r="E183" s="37"/>
      <c r="F183" s="37">
        <v>125</v>
      </c>
      <c r="G183" s="56"/>
    </row>
    <row r="184" spans="1:7" ht="24.95" customHeight="1" x14ac:dyDescent="0.25">
      <c r="A184" s="254">
        <v>329</v>
      </c>
      <c r="B184" s="255"/>
      <c r="C184" s="256"/>
      <c r="D184" s="96" t="s">
        <v>142</v>
      </c>
      <c r="E184" s="37"/>
      <c r="F184" s="105">
        <f>F185</f>
        <v>1880</v>
      </c>
      <c r="G184" s="56"/>
    </row>
    <row r="185" spans="1:7" ht="24.95" customHeight="1" x14ac:dyDescent="0.25">
      <c r="A185" s="251">
        <v>3299</v>
      </c>
      <c r="B185" s="252"/>
      <c r="C185" s="253"/>
      <c r="D185" s="96" t="s">
        <v>142</v>
      </c>
      <c r="E185" s="37"/>
      <c r="F185" s="37">
        <v>1880</v>
      </c>
      <c r="G185" s="56"/>
    </row>
    <row r="186" spans="1:7" ht="24.95" customHeight="1" x14ac:dyDescent="0.25">
      <c r="A186" s="257" t="s">
        <v>247</v>
      </c>
      <c r="B186" s="258"/>
      <c r="C186" s="259"/>
      <c r="D186" s="69" t="s">
        <v>245</v>
      </c>
      <c r="E186" s="106">
        <f>E187</f>
        <v>4718.59</v>
      </c>
      <c r="F186" s="106">
        <f>F187</f>
        <v>4718.59</v>
      </c>
      <c r="G186" s="56">
        <f>(F186/E186)*100</f>
        <v>100</v>
      </c>
    </row>
    <row r="187" spans="1:7" ht="24.95" customHeight="1" x14ac:dyDescent="0.25">
      <c r="A187" s="263">
        <v>3</v>
      </c>
      <c r="B187" s="264"/>
      <c r="C187" s="265"/>
      <c r="D187" s="195" t="s">
        <v>6</v>
      </c>
      <c r="E187" s="37">
        <f>E188</f>
        <v>4718.59</v>
      </c>
      <c r="F187" s="37">
        <f>F188</f>
        <v>4718.59</v>
      </c>
      <c r="G187" s="56"/>
    </row>
    <row r="188" spans="1:7" ht="24.95" customHeight="1" x14ac:dyDescent="0.25">
      <c r="A188" s="260">
        <v>32</v>
      </c>
      <c r="B188" s="261"/>
      <c r="C188" s="262"/>
      <c r="D188" s="123" t="s">
        <v>14</v>
      </c>
      <c r="E188" s="124">
        <v>4718.59</v>
      </c>
      <c r="F188" s="124">
        <f>F189+F192</f>
        <v>4718.59</v>
      </c>
      <c r="G188" s="125">
        <f>(F188/E188)*100</f>
        <v>100</v>
      </c>
    </row>
    <row r="189" spans="1:7" ht="24.95" customHeight="1" x14ac:dyDescent="0.25">
      <c r="A189" s="254">
        <v>321</v>
      </c>
      <c r="B189" s="255"/>
      <c r="C189" s="256"/>
      <c r="D189" s="96" t="s">
        <v>124</v>
      </c>
      <c r="E189" s="105"/>
      <c r="F189" s="105">
        <f>F190+F191</f>
        <v>1835.3500000000001</v>
      </c>
      <c r="G189" s="56"/>
    </row>
    <row r="190" spans="1:7" ht="24.95" customHeight="1" x14ac:dyDescent="0.25">
      <c r="A190" s="251">
        <v>3211</v>
      </c>
      <c r="B190" s="252"/>
      <c r="C190" s="253"/>
      <c r="D190" s="96" t="s">
        <v>125</v>
      </c>
      <c r="E190" s="37"/>
      <c r="F190" s="37">
        <f>1472.95+92.4</f>
        <v>1565.3500000000001</v>
      </c>
      <c r="G190" s="56"/>
    </row>
    <row r="191" spans="1:7" ht="24.95" customHeight="1" x14ac:dyDescent="0.25">
      <c r="A191" s="251">
        <v>3213</v>
      </c>
      <c r="B191" s="252"/>
      <c r="C191" s="253"/>
      <c r="D191" s="96" t="s">
        <v>127</v>
      </c>
      <c r="E191" s="71"/>
      <c r="F191" s="71">
        <f>90+180</f>
        <v>270</v>
      </c>
      <c r="G191" s="130"/>
    </row>
    <row r="192" spans="1:7" ht="24.95" customHeight="1" x14ac:dyDescent="0.25">
      <c r="A192" s="254">
        <v>322</v>
      </c>
      <c r="B192" s="255"/>
      <c r="C192" s="256"/>
      <c r="D192" s="96" t="s">
        <v>129</v>
      </c>
      <c r="E192" s="105"/>
      <c r="F192" s="105">
        <f>F193</f>
        <v>2883.24</v>
      </c>
      <c r="G192" s="56"/>
    </row>
    <row r="193" spans="1:9" ht="24.95" customHeight="1" x14ac:dyDescent="0.25">
      <c r="A193" s="251">
        <v>3221</v>
      </c>
      <c r="B193" s="252"/>
      <c r="C193" s="253"/>
      <c r="D193" s="96" t="s">
        <v>130</v>
      </c>
      <c r="E193" s="105"/>
      <c r="F193" s="37">
        <f>1798.06+1085.18</f>
        <v>2883.24</v>
      </c>
      <c r="G193" s="56"/>
    </row>
    <row r="194" spans="1:9" s="59" customFormat="1" ht="24.95" customHeight="1" x14ac:dyDescent="0.2">
      <c r="A194" s="257" t="s">
        <v>62</v>
      </c>
      <c r="B194" s="258"/>
      <c r="C194" s="259"/>
      <c r="D194" s="55" t="s">
        <v>29</v>
      </c>
      <c r="E194" s="56">
        <f>E195</f>
        <v>298346.75</v>
      </c>
      <c r="F194" s="56">
        <f>F195</f>
        <v>289806.95999999996</v>
      </c>
      <c r="G194" s="56">
        <f t="shared" ref="G194:G283" si="13">(F194/E194)*100</f>
        <v>97.137629285386879</v>
      </c>
      <c r="I194" s="117"/>
    </row>
    <row r="195" spans="1:9" ht="24.95" customHeight="1" x14ac:dyDescent="0.25">
      <c r="A195" s="263">
        <v>3</v>
      </c>
      <c r="B195" s="264"/>
      <c r="C195" s="265"/>
      <c r="D195" s="45" t="s">
        <v>6</v>
      </c>
      <c r="E195" s="37">
        <f>E196+E211+E215</f>
        <v>298346.75</v>
      </c>
      <c r="F195" s="37">
        <f>F196+F211+F215</f>
        <v>289806.95999999996</v>
      </c>
      <c r="G195" s="56"/>
    </row>
    <row r="196" spans="1:9" ht="24.95" customHeight="1" x14ac:dyDescent="0.25">
      <c r="A196" s="260">
        <v>32</v>
      </c>
      <c r="B196" s="261"/>
      <c r="C196" s="262"/>
      <c r="D196" s="123" t="s">
        <v>14</v>
      </c>
      <c r="E196" s="124">
        <f>400+400+237000+1100+300+2062.8+800+810+250</f>
        <v>243122.8</v>
      </c>
      <c r="F196" s="124">
        <f>F197+F199+F203+F207</f>
        <v>235044.77999999997</v>
      </c>
      <c r="G196" s="125">
        <f t="shared" si="13"/>
        <v>96.677391013923824</v>
      </c>
    </row>
    <row r="197" spans="1:9" ht="24.95" customHeight="1" x14ac:dyDescent="0.25">
      <c r="A197" s="254">
        <v>321</v>
      </c>
      <c r="B197" s="255"/>
      <c r="C197" s="256"/>
      <c r="D197" s="96" t="s">
        <v>124</v>
      </c>
      <c r="E197" s="105"/>
      <c r="F197" s="105">
        <f>F198</f>
        <v>312.31</v>
      </c>
      <c r="G197" s="56"/>
    </row>
    <row r="198" spans="1:9" ht="24.95" customHeight="1" x14ac:dyDescent="0.25">
      <c r="A198" s="251">
        <v>3211</v>
      </c>
      <c r="B198" s="252"/>
      <c r="C198" s="253"/>
      <c r="D198" s="96" t="s">
        <v>125</v>
      </c>
      <c r="E198" s="37"/>
      <c r="F198" s="37">
        <v>312.31</v>
      </c>
      <c r="G198" s="56"/>
    </row>
    <row r="199" spans="1:9" ht="24.95" customHeight="1" x14ac:dyDescent="0.25">
      <c r="A199" s="254">
        <v>322</v>
      </c>
      <c r="B199" s="255"/>
      <c r="C199" s="256"/>
      <c r="D199" s="96" t="s">
        <v>129</v>
      </c>
      <c r="E199" s="105"/>
      <c r="F199" s="105">
        <f>F200+F202+F201</f>
        <v>230584.49</v>
      </c>
      <c r="G199" s="56"/>
    </row>
    <row r="200" spans="1:9" ht="24.95" customHeight="1" x14ac:dyDescent="0.25">
      <c r="A200" s="251">
        <v>3221</v>
      </c>
      <c r="B200" s="252"/>
      <c r="C200" s="253"/>
      <c r="D200" s="96" t="s">
        <v>130</v>
      </c>
      <c r="E200" s="37"/>
      <c r="F200" s="37">
        <v>366.43</v>
      </c>
      <c r="G200" s="56"/>
    </row>
    <row r="201" spans="1:9" ht="24.95" customHeight="1" x14ac:dyDescent="0.25">
      <c r="A201" s="251">
        <v>3222</v>
      </c>
      <c r="B201" s="252"/>
      <c r="C201" s="253"/>
      <c r="D201" s="96" t="s">
        <v>131</v>
      </c>
      <c r="E201" s="37"/>
      <c r="F201" s="37">
        <v>229214.47</v>
      </c>
      <c r="G201" s="56"/>
    </row>
    <row r="202" spans="1:9" ht="24.95" customHeight="1" x14ac:dyDescent="0.25">
      <c r="A202" s="251">
        <v>3225</v>
      </c>
      <c r="B202" s="252"/>
      <c r="C202" s="253"/>
      <c r="D202" s="96" t="s">
        <v>133</v>
      </c>
      <c r="E202" s="37"/>
      <c r="F202" s="37">
        <f>464+539.59</f>
        <v>1003.59</v>
      </c>
      <c r="G202" s="56"/>
    </row>
    <row r="203" spans="1:9" ht="24.95" customHeight="1" x14ac:dyDescent="0.25">
      <c r="A203" s="254">
        <v>323</v>
      </c>
      <c r="B203" s="255"/>
      <c r="C203" s="256"/>
      <c r="D203" s="96" t="s">
        <v>134</v>
      </c>
      <c r="E203" s="105"/>
      <c r="F203" s="105">
        <f>SUM(F204:F206)</f>
        <v>3095.36</v>
      </c>
      <c r="G203" s="56"/>
    </row>
    <row r="204" spans="1:9" ht="24.95" customHeight="1" x14ac:dyDescent="0.25">
      <c r="A204" s="251">
        <v>3231</v>
      </c>
      <c r="B204" s="252"/>
      <c r="C204" s="253"/>
      <c r="D204" s="96" t="s">
        <v>135</v>
      </c>
      <c r="E204" s="105"/>
      <c r="F204" s="37">
        <v>253.96</v>
      </c>
      <c r="G204" s="56"/>
    </row>
    <row r="205" spans="1:9" ht="24.95" customHeight="1" x14ac:dyDescent="0.25">
      <c r="A205" s="251">
        <v>3237</v>
      </c>
      <c r="B205" s="252"/>
      <c r="C205" s="253"/>
      <c r="D205" s="96" t="s">
        <v>139</v>
      </c>
      <c r="E205" s="105"/>
      <c r="F205" s="37">
        <v>2062.8000000000002</v>
      </c>
      <c r="G205" s="56"/>
    </row>
    <row r="206" spans="1:9" ht="24.95" customHeight="1" x14ac:dyDescent="0.25">
      <c r="A206" s="251">
        <v>3239</v>
      </c>
      <c r="B206" s="252"/>
      <c r="C206" s="253"/>
      <c r="D206" s="96" t="s">
        <v>141</v>
      </c>
      <c r="E206" s="37"/>
      <c r="F206" s="37">
        <v>778.6</v>
      </c>
      <c r="G206" s="56"/>
    </row>
    <row r="207" spans="1:9" ht="24.95" customHeight="1" x14ac:dyDescent="0.25">
      <c r="A207" s="254">
        <v>329</v>
      </c>
      <c r="B207" s="255"/>
      <c r="C207" s="256"/>
      <c r="D207" s="96" t="s">
        <v>142</v>
      </c>
      <c r="E207" s="105"/>
      <c r="F207" s="105">
        <f>SUM(F208:F210)</f>
        <v>1052.6199999999999</v>
      </c>
      <c r="G207" s="56"/>
    </row>
    <row r="208" spans="1:9" ht="24.95" customHeight="1" x14ac:dyDescent="0.25">
      <c r="A208" s="251">
        <v>3291</v>
      </c>
      <c r="B208" s="252"/>
      <c r="C208" s="253"/>
      <c r="D208" s="96" t="s">
        <v>149</v>
      </c>
      <c r="E208" s="37"/>
      <c r="F208" s="37">
        <f>422.52+387.06</f>
        <v>809.57999999999993</v>
      </c>
      <c r="G208" s="56"/>
    </row>
    <row r="209" spans="1:9" ht="24.95" customHeight="1" x14ac:dyDescent="0.25">
      <c r="A209" s="251">
        <v>3293</v>
      </c>
      <c r="B209" s="252"/>
      <c r="C209" s="253"/>
      <c r="D209" s="96" t="s">
        <v>144</v>
      </c>
      <c r="E209" s="37"/>
      <c r="F209" s="37"/>
      <c r="G209" s="56"/>
    </row>
    <row r="210" spans="1:9" ht="24.95" customHeight="1" x14ac:dyDescent="0.25">
      <c r="A210" s="251">
        <v>3299</v>
      </c>
      <c r="B210" s="252"/>
      <c r="C210" s="253"/>
      <c r="D210" s="96" t="s">
        <v>142</v>
      </c>
      <c r="E210" s="37"/>
      <c r="F210" s="37">
        <v>243.04</v>
      </c>
      <c r="G210" s="56"/>
    </row>
    <row r="211" spans="1:9" ht="24.95" customHeight="1" x14ac:dyDescent="0.25">
      <c r="A211" s="260">
        <v>37</v>
      </c>
      <c r="B211" s="261"/>
      <c r="C211" s="262"/>
      <c r="D211" s="127" t="s">
        <v>22</v>
      </c>
      <c r="E211" s="124">
        <f>800+52000</f>
        <v>52800</v>
      </c>
      <c r="F211" s="124">
        <f>F212</f>
        <v>52338.240000000005</v>
      </c>
      <c r="G211" s="125">
        <f t="shared" si="13"/>
        <v>99.125454545454545</v>
      </c>
    </row>
    <row r="212" spans="1:9" ht="24.95" customHeight="1" x14ac:dyDescent="0.25">
      <c r="A212" s="254">
        <v>372</v>
      </c>
      <c r="B212" s="255"/>
      <c r="C212" s="256"/>
      <c r="D212" s="96" t="s">
        <v>154</v>
      </c>
      <c r="E212" s="105"/>
      <c r="F212" s="105">
        <f>F213+F214</f>
        <v>52338.240000000005</v>
      </c>
      <c r="G212" s="56"/>
    </row>
    <row r="213" spans="1:9" ht="24.95" customHeight="1" x14ac:dyDescent="0.25">
      <c r="A213" s="251">
        <v>3721</v>
      </c>
      <c r="B213" s="252"/>
      <c r="C213" s="253"/>
      <c r="D213" s="96" t="s">
        <v>155</v>
      </c>
      <c r="E213" s="37"/>
      <c r="F213" s="37">
        <v>525.94000000000005</v>
      </c>
      <c r="G213" s="56"/>
    </row>
    <row r="214" spans="1:9" ht="24.95" customHeight="1" x14ac:dyDescent="0.25">
      <c r="A214" s="251">
        <v>3722</v>
      </c>
      <c r="B214" s="252"/>
      <c r="C214" s="253"/>
      <c r="D214" s="96" t="s">
        <v>156</v>
      </c>
      <c r="E214" s="37"/>
      <c r="F214" s="37">
        <v>51812.3</v>
      </c>
      <c r="G214" s="56"/>
    </row>
    <row r="215" spans="1:9" ht="24.95" customHeight="1" x14ac:dyDescent="0.25">
      <c r="A215" s="260">
        <v>38</v>
      </c>
      <c r="B215" s="261"/>
      <c r="C215" s="262"/>
      <c r="D215" s="128" t="s">
        <v>98</v>
      </c>
      <c r="E215" s="124">
        <v>2423.9499999999998</v>
      </c>
      <c r="F215" s="124">
        <f>F216</f>
        <v>2423.94</v>
      </c>
      <c r="G215" s="125">
        <f t="shared" si="13"/>
        <v>99.999587450236191</v>
      </c>
    </row>
    <row r="216" spans="1:9" ht="24.95" customHeight="1" x14ac:dyDescent="0.25">
      <c r="A216" s="251">
        <v>3812</v>
      </c>
      <c r="B216" s="252"/>
      <c r="C216" s="253"/>
      <c r="D216" s="96" t="s">
        <v>165</v>
      </c>
      <c r="E216" s="37"/>
      <c r="F216" s="37">
        <v>2423.94</v>
      </c>
      <c r="G216" s="56"/>
    </row>
    <row r="217" spans="1:9" s="59" customFormat="1" ht="24.95" customHeight="1" x14ac:dyDescent="0.2">
      <c r="A217" s="257" t="s">
        <v>88</v>
      </c>
      <c r="B217" s="258"/>
      <c r="C217" s="259"/>
      <c r="D217" s="55" t="s">
        <v>72</v>
      </c>
      <c r="E217" s="56">
        <f>E218</f>
        <v>1587.95</v>
      </c>
      <c r="F217" s="56">
        <f t="shared" ref="F217:F218" si="14">F218</f>
        <v>1587.9500000000003</v>
      </c>
      <c r="G217" s="56">
        <f t="shared" si="13"/>
        <v>100.00000000000003</v>
      </c>
      <c r="I217" s="117"/>
    </row>
    <row r="218" spans="1:9" ht="24.95" customHeight="1" x14ac:dyDescent="0.25">
      <c r="A218" s="263">
        <v>3</v>
      </c>
      <c r="B218" s="264"/>
      <c r="C218" s="265"/>
      <c r="D218" s="45" t="s">
        <v>6</v>
      </c>
      <c r="E218" s="37">
        <f>E219</f>
        <v>1587.95</v>
      </c>
      <c r="F218" s="37">
        <f t="shared" si="14"/>
        <v>1587.9500000000003</v>
      </c>
      <c r="G218" s="56"/>
    </row>
    <row r="219" spans="1:9" ht="24.95" customHeight="1" x14ac:dyDescent="0.25">
      <c r="A219" s="260">
        <v>32</v>
      </c>
      <c r="B219" s="261"/>
      <c r="C219" s="262"/>
      <c r="D219" s="123" t="s">
        <v>14</v>
      </c>
      <c r="E219" s="124">
        <v>1587.95</v>
      </c>
      <c r="F219" s="124">
        <f>F222+F225+F228+F220</f>
        <v>1587.9500000000003</v>
      </c>
      <c r="G219" s="125">
        <f t="shared" si="13"/>
        <v>100.00000000000003</v>
      </c>
    </row>
    <row r="220" spans="1:9" ht="24.95" customHeight="1" x14ac:dyDescent="0.25">
      <c r="A220" s="254">
        <v>321</v>
      </c>
      <c r="B220" s="255"/>
      <c r="C220" s="256"/>
      <c r="D220" s="96" t="s">
        <v>124</v>
      </c>
      <c r="E220" s="105"/>
      <c r="F220" s="105">
        <f>F221</f>
        <v>149.38</v>
      </c>
      <c r="G220" s="56"/>
    </row>
    <row r="221" spans="1:9" ht="24.95" customHeight="1" x14ac:dyDescent="0.25">
      <c r="A221" s="251">
        <v>3211</v>
      </c>
      <c r="B221" s="252"/>
      <c r="C221" s="253"/>
      <c r="D221" s="96" t="s">
        <v>125</v>
      </c>
      <c r="E221" s="37"/>
      <c r="F221" s="37">
        <v>149.38</v>
      </c>
      <c r="G221" s="56"/>
    </row>
    <row r="222" spans="1:9" ht="24.95" customHeight="1" x14ac:dyDescent="0.25">
      <c r="A222" s="254">
        <v>322</v>
      </c>
      <c r="B222" s="255"/>
      <c r="C222" s="256"/>
      <c r="D222" s="96" t="s">
        <v>129</v>
      </c>
      <c r="E222" s="105"/>
      <c r="F222" s="105">
        <f>F223+F224</f>
        <v>1012.39</v>
      </c>
      <c r="G222" s="56"/>
    </row>
    <row r="223" spans="1:9" ht="24.95" customHeight="1" x14ac:dyDescent="0.25">
      <c r="A223" s="251">
        <v>3221</v>
      </c>
      <c r="B223" s="252"/>
      <c r="C223" s="253"/>
      <c r="D223" s="96" t="s">
        <v>130</v>
      </c>
      <c r="E223" s="37"/>
      <c r="F223" s="37">
        <f>211.7+498.16</f>
        <v>709.86</v>
      </c>
      <c r="G223" s="56"/>
    </row>
    <row r="224" spans="1:9" ht="24.95" customHeight="1" x14ac:dyDescent="0.25">
      <c r="A224" s="251">
        <v>3225</v>
      </c>
      <c r="B224" s="252"/>
      <c r="C224" s="253"/>
      <c r="D224" s="96" t="s">
        <v>133</v>
      </c>
      <c r="E224" s="37"/>
      <c r="F224" s="37">
        <f>302.53</f>
        <v>302.52999999999997</v>
      </c>
      <c r="G224" s="56"/>
    </row>
    <row r="225" spans="1:9" ht="24.95" customHeight="1" x14ac:dyDescent="0.25">
      <c r="A225" s="254">
        <v>323</v>
      </c>
      <c r="B225" s="255"/>
      <c r="C225" s="256"/>
      <c r="D225" s="96" t="s">
        <v>134</v>
      </c>
      <c r="E225" s="105"/>
      <c r="F225" s="105">
        <f>F226+F227</f>
        <v>249.78</v>
      </c>
      <c r="G225" s="56"/>
    </row>
    <row r="226" spans="1:9" ht="24.95" customHeight="1" x14ac:dyDescent="0.25">
      <c r="A226" s="251">
        <v>3231</v>
      </c>
      <c r="B226" s="252"/>
      <c r="C226" s="253"/>
      <c r="D226" s="96" t="s">
        <v>135</v>
      </c>
      <c r="E226" s="37"/>
      <c r="F226" s="37">
        <f>249.78</f>
        <v>249.78</v>
      </c>
      <c r="G226" s="56"/>
    </row>
    <row r="227" spans="1:9" ht="24.95" customHeight="1" x14ac:dyDescent="0.25">
      <c r="A227" s="251">
        <v>3239</v>
      </c>
      <c r="B227" s="252"/>
      <c r="C227" s="253"/>
      <c r="D227" s="96" t="s">
        <v>141</v>
      </c>
      <c r="E227" s="37"/>
      <c r="F227" s="37"/>
      <c r="G227" s="56"/>
    </row>
    <row r="228" spans="1:9" ht="24.95" customHeight="1" x14ac:dyDescent="0.25">
      <c r="A228" s="254">
        <v>329</v>
      </c>
      <c r="B228" s="255"/>
      <c r="C228" s="256"/>
      <c r="D228" s="96" t="s">
        <v>142</v>
      </c>
      <c r="E228" s="105"/>
      <c r="F228" s="105">
        <f>F229</f>
        <v>176.4</v>
      </c>
      <c r="G228" s="56"/>
    </row>
    <row r="229" spans="1:9" ht="24.95" customHeight="1" x14ac:dyDescent="0.25">
      <c r="A229" s="251">
        <v>3299</v>
      </c>
      <c r="B229" s="252"/>
      <c r="C229" s="253"/>
      <c r="D229" s="96" t="s">
        <v>142</v>
      </c>
      <c r="E229" s="37"/>
      <c r="F229" s="37">
        <f>176.4</f>
        <v>176.4</v>
      </c>
      <c r="G229" s="56"/>
    </row>
    <row r="230" spans="1:9" s="59" customFormat="1" ht="24.95" customHeight="1" x14ac:dyDescent="0.2">
      <c r="A230" s="257" t="s">
        <v>67</v>
      </c>
      <c r="B230" s="258"/>
      <c r="C230" s="259"/>
      <c r="D230" s="55" t="s">
        <v>31</v>
      </c>
      <c r="E230" s="56">
        <f>E231</f>
        <v>380</v>
      </c>
      <c r="F230" s="56">
        <f t="shared" ref="F230" si="15">F231</f>
        <v>309.16000000000003</v>
      </c>
      <c r="G230" s="56">
        <f t="shared" si="13"/>
        <v>81.357894736842113</v>
      </c>
      <c r="I230" s="117"/>
    </row>
    <row r="231" spans="1:9" ht="24.95" customHeight="1" x14ac:dyDescent="0.25">
      <c r="A231" s="260">
        <v>32</v>
      </c>
      <c r="B231" s="261"/>
      <c r="C231" s="262"/>
      <c r="D231" s="123" t="s">
        <v>14</v>
      </c>
      <c r="E231" s="124">
        <v>380</v>
      </c>
      <c r="F231" s="124">
        <f>F232+F234+F237</f>
        <v>309.16000000000003</v>
      </c>
      <c r="G231" s="125">
        <f t="shared" si="13"/>
        <v>81.357894736842113</v>
      </c>
    </row>
    <row r="232" spans="1:9" ht="24.95" customHeight="1" x14ac:dyDescent="0.25">
      <c r="A232" s="254">
        <v>321</v>
      </c>
      <c r="B232" s="255"/>
      <c r="C232" s="256"/>
      <c r="D232" s="96" t="s">
        <v>124</v>
      </c>
      <c r="E232" s="105"/>
      <c r="F232" s="105">
        <f>F233</f>
        <v>0</v>
      </c>
      <c r="G232" s="56"/>
    </row>
    <row r="233" spans="1:9" ht="24.95" customHeight="1" x14ac:dyDescent="0.25">
      <c r="A233" s="251">
        <v>3211</v>
      </c>
      <c r="B233" s="252"/>
      <c r="C233" s="253"/>
      <c r="D233" s="96" t="s">
        <v>125</v>
      </c>
      <c r="E233" s="37"/>
      <c r="F233" s="37"/>
      <c r="G233" s="56"/>
    </row>
    <row r="234" spans="1:9" ht="24.95" customHeight="1" x14ac:dyDescent="0.25">
      <c r="A234" s="254">
        <v>322</v>
      </c>
      <c r="B234" s="255"/>
      <c r="C234" s="256"/>
      <c r="D234" s="96" t="s">
        <v>129</v>
      </c>
      <c r="E234" s="105"/>
      <c r="F234" s="105">
        <f>F235+F236</f>
        <v>279.68</v>
      </c>
      <c r="G234" s="56"/>
    </row>
    <row r="235" spans="1:9" ht="24.95" customHeight="1" x14ac:dyDescent="0.25">
      <c r="A235" s="251">
        <v>3221</v>
      </c>
      <c r="B235" s="252"/>
      <c r="C235" s="253"/>
      <c r="D235" s="96" t="s">
        <v>130</v>
      </c>
      <c r="E235" s="37"/>
      <c r="F235" s="37">
        <v>115.57</v>
      </c>
      <c r="G235" s="56"/>
    </row>
    <row r="236" spans="1:9" ht="24.95" customHeight="1" x14ac:dyDescent="0.25">
      <c r="A236" s="251">
        <v>3225</v>
      </c>
      <c r="B236" s="252"/>
      <c r="C236" s="253"/>
      <c r="D236" s="96" t="s">
        <v>133</v>
      </c>
      <c r="E236" s="37"/>
      <c r="F236" s="37">
        <v>164.11</v>
      </c>
      <c r="G236" s="56"/>
    </row>
    <row r="237" spans="1:9" ht="24.95" customHeight="1" x14ac:dyDescent="0.25">
      <c r="A237" s="254">
        <v>329</v>
      </c>
      <c r="B237" s="255"/>
      <c r="C237" s="256"/>
      <c r="D237" s="96" t="s">
        <v>142</v>
      </c>
      <c r="E237" s="105"/>
      <c r="F237" s="105">
        <f>F238+F239</f>
        <v>29.48</v>
      </c>
      <c r="G237" s="56"/>
    </row>
    <row r="238" spans="1:9" ht="24.95" customHeight="1" x14ac:dyDescent="0.25">
      <c r="A238" s="251">
        <v>3293</v>
      </c>
      <c r="B238" s="252"/>
      <c r="C238" s="253"/>
      <c r="D238" s="96" t="s">
        <v>144</v>
      </c>
      <c r="E238" s="37"/>
      <c r="F238" s="37"/>
      <c r="G238" s="56"/>
    </row>
    <row r="239" spans="1:9" ht="24.95" customHeight="1" x14ac:dyDescent="0.25">
      <c r="A239" s="251">
        <v>3299</v>
      </c>
      <c r="B239" s="252"/>
      <c r="C239" s="253"/>
      <c r="D239" s="96" t="s">
        <v>142</v>
      </c>
      <c r="E239" s="37"/>
      <c r="F239" s="37">
        <v>29.48</v>
      </c>
      <c r="G239" s="56"/>
    </row>
    <row r="240" spans="1:9" s="58" customFormat="1" ht="24.95" customHeight="1" x14ac:dyDescent="0.25">
      <c r="A240" s="257" t="s">
        <v>91</v>
      </c>
      <c r="B240" s="258"/>
      <c r="C240" s="259"/>
      <c r="D240" s="60" t="s">
        <v>74</v>
      </c>
      <c r="E240" s="56">
        <f>E241</f>
        <v>310.93</v>
      </c>
      <c r="F240" s="56">
        <f t="shared" ref="F240" si="16">F241</f>
        <v>310.93</v>
      </c>
      <c r="G240" s="56">
        <f t="shared" si="13"/>
        <v>100</v>
      </c>
      <c r="I240" s="116"/>
    </row>
    <row r="241" spans="1:9" ht="24.95" customHeight="1" x14ac:dyDescent="0.25">
      <c r="A241" s="260">
        <v>32</v>
      </c>
      <c r="B241" s="261"/>
      <c r="C241" s="262"/>
      <c r="D241" s="123" t="s">
        <v>14</v>
      </c>
      <c r="E241" s="124">
        <v>310.93</v>
      </c>
      <c r="F241" s="124">
        <f>F242</f>
        <v>310.93</v>
      </c>
      <c r="G241" s="125">
        <f t="shared" si="13"/>
        <v>100</v>
      </c>
    </row>
    <row r="242" spans="1:9" ht="24.95" customHeight="1" x14ac:dyDescent="0.25">
      <c r="A242" s="254">
        <v>322</v>
      </c>
      <c r="B242" s="255"/>
      <c r="C242" s="256"/>
      <c r="D242" s="96" t="s">
        <v>129</v>
      </c>
      <c r="E242" s="105">
        <f>E243</f>
        <v>0</v>
      </c>
      <c r="F242" s="105">
        <f>F243</f>
        <v>310.93</v>
      </c>
      <c r="G242" s="56"/>
    </row>
    <row r="243" spans="1:9" ht="24.95" customHeight="1" x14ac:dyDescent="0.25">
      <c r="A243" s="251">
        <v>3221</v>
      </c>
      <c r="B243" s="252"/>
      <c r="C243" s="253"/>
      <c r="D243" s="96" t="s">
        <v>130</v>
      </c>
      <c r="E243" s="37"/>
      <c r="F243" s="37">
        <v>310.93</v>
      </c>
      <c r="G243" s="56"/>
    </row>
    <row r="244" spans="1:9" ht="24.95" customHeight="1" x14ac:dyDescent="0.25">
      <c r="A244" s="269" t="s">
        <v>46</v>
      </c>
      <c r="B244" s="270"/>
      <c r="C244" s="271"/>
      <c r="D244" s="44" t="s">
        <v>47</v>
      </c>
      <c r="E244" s="51">
        <f>E246+E249+E252+E255</f>
        <v>30.44</v>
      </c>
      <c r="F244" s="51">
        <f>F246+F249+F252+F255</f>
        <v>3.42</v>
      </c>
      <c r="G244" s="51"/>
    </row>
    <row r="245" spans="1:9" s="59" customFormat="1" ht="24.95" customHeight="1" x14ac:dyDescent="0.2">
      <c r="A245" s="257" t="s">
        <v>64</v>
      </c>
      <c r="B245" s="258"/>
      <c r="C245" s="259"/>
      <c r="D245" s="75" t="s">
        <v>30</v>
      </c>
      <c r="E245" s="56">
        <f>E246</f>
        <v>30</v>
      </c>
      <c r="F245" s="56">
        <f>F246</f>
        <v>2.98</v>
      </c>
      <c r="G245" s="56">
        <f t="shared" si="13"/>
        <v>9.9333333333333336</v>
      </c>
      <c r="I245" s="117"/>
    </row>
    <row r="246" spans="1:9" ht="24.95" customHeight="1" x14ac:dyDescent="0.25">
      <c r="A246" s="260">
        <v>34</v>
      </c>
      <c r="B246" s="261"/>
      <c r="C246" s="262"/>
      <c r="D246" s="123" t="s">
        <v>21</v>
      </c>
      <c r="E246" s="124">
        <v>30</v>
      </c>
      <c r="F246" s="124">
        <f>F247</f>
        <v>2.98</v>
      </c>
      <c r="G246" s="125">
        <f t="shared" si="13"/>
        <v>9.9333333333333336</v>
      </c>
    </row>
    <row r="247" spans="1:9" ht="24.95" customHeight="1" x14ac:dyDescent="0.25">
      <c r="A247" s="251">
        <v>3433</v>
      </c>
      <c r="B247" s="252"/>
      <c r="C247" s="253"/>
      <c r="D247" s="96" t="s">
        <v>153</v>
      </c>
      <c r="E247" s="37"/>
      <c r="F247" s="37">
        <v>2.98</v>
      </c>
      <c r="G247" s="56"/>
    </row>
    <row r="248" spans="1:9" s="59" customFormat="1" ht="24.95" customHeight="1" x14ac:dyDescent="0.2">
      <c r="A248" s="257" t="s">
        <v>86</v>
      </c>
      <c r="B248" s="258"/>
      <c r="C248" s="259"/>
      <c r="D248" s="75" t="s">
        <v>69</v>
      </c>
      <c r="E248" s="56">
        <f>E249</f>
        <v>0.44</v>
      </c>
      <c r="F248" s="56">
        <f>F249</f>
        <v>0.44</v>
      </c>
      <c r="G248" s="125">
        <f t="shared" si="13"/>
        <v>100</v>
      </c>
      <c r="I248" s="117"/>
    </row>
    <row r="249" spans="1:9" ht="24.95" customHeight="1" x14ac:dyDescent="0.25">
      <c r="A249" s="260">
        <v>34</v>
      </c>
      <c r="B249" s="261"/>
      <c r="C249" s="262"/>
      <c r="D249" s="123" t="s">
        <v>21</v>
      </c>
      <c r="E249" s="124">
        <v>0.44</v>
      </c>
      <c r="F249" s="124">
        <f>F250</f>
        <v>0.44</v>
      </c>
      <c r="G249" s="125">
        <f t="shared" si="13"/>
        <v>100</v>
      </c>
    </row>
    <row r="250" spans="1:9" ht="24.95" customHeight="1" x14ac:dyDescent="0.25">
      <c r="A250" s="251">
        <v>3433</v>
      </c>
      <c r="B250" s="252"/>
      <c r="C250" s="253"/>
      <c r="D250" s="96" t="s">
        <v>153</v>
      </c>
      <c r="E250" s="37"/>
      <c r="F250" s="37">
        <v>0.44</v>
      </c>
      <c r="G250" s="56"/>
    </row>
    <row r="251" spans="1:9" s="59" customFormat="1" ht="24.95" customHeight="1" x14ac:dyDescent="0.2">
      <c r="A251" s="257" t="s">
        <v>66</v>
      </c>
      <c r="B251" s="258"/>
      <c r="C251" s="259"/>
      <c r="D251" s="75" t="s">
        <v>85</v>
      </c>
      <c r="E251" s="56">
        <f>E252</f>
        <v>0</v>
      </c>
      <c r="F251" s="56">
        <f>F252</f>
        <v>0</v>
      </c>
      <c r="G251" s="56" t="e">
        <f t="shared" si="13"/>
        <v>#DIV/0!</v>
      </c>
      <c r="I251" s="117"/>
    </row>
    <row r="252" spans="1:9" ht="24.95" customHeight="1" x14ac:dyDescent="0.25">
      <c r="A252" s="260">
        <v>34</v>
      </c>
      <c r="B252" s="261"/>
      <c r="C252" s="262"/>
      <c r="D252" s="123" t="s">
        <v>21</v>
      </c>
      <c r="E252" s="124"/>
      <c r="F252" s="124">
        <f>F253</f>
        <v>0</v>
      </c>
      <c r="G252" s="125" t="e">
        <f t="shared" si="13"/>
        <v>#DIV/0!</v>
      </c>
    </row>
    <row r="253" spans="1:9" ht="24.95" customHeight="1" x14ac:dyDescent="0.25">
      <c r="A253" s="251">
        <v>3431</v>
      </c>
      <c r="B253" s="252"/>
      <c r="C253" s="253"/>
      <c r="D253" s="96" t="s">
        <v>152</v>
      </c>
      <c r="E253" s="37"/>
      <c r="F253" s="37"/>
      <c r="G253" s="56"/>
    </row>
    <row r="254" spans="1:9" ht="24.95" customHeight="1" x14ac:dyDescent="0.25">
      <c r="A254" s="257" t="s">
        <v>87</v>
      </c>
      <c r="B254" s="258"/>
      <c r="C254" s="259"/>
      <c r="D254" s="113" t="s">
        <v>71</v>
      </c>
      <c r="E254" s="56">
        <f>E255</f>
        <v>0</v>
      </c>
      <c r="F254" s="56">
        <f>F255</f>
        <v>0</v>
      </c>
      <c r="G254" s="56"/>
    </row>
    <row r="255" spans="1:9" ht="24.95" customHeight="1" x14ac:dyDescent="0.25">
      <c r="A255" s="260">
        <v>34</v>
      </c>
      <c r="B255" s="261"/>
      <c r="C255" s="262"/>
      <c r="D255" s="123" t="s">
        <v>21</v>
      </c>
      <c r="E255" s="124"/>
      <c r="F255" s="124">
        <f>F256</f>
        <v>0</v>
      </c>
      <c r="G255" s="125" t="e">
        <f t="shared" si="13"/>
        <v>#DIV/0!</v>
      </c>
    </row>
    <row r="256" spans="1:9" ht="24.95" customHeight="1" x14ac:dyDescent="0.25">
      <c r="A256" s="251">
        <v>3431</v>
      </c>
      <c r="B256" s="252"/>
      <c r="C256" s="253"/>
      <c r="D256" s="96" t="s">
        <v>152</v>
      </c>
      <c r="E256" s="37"/>
      <c r="F256" s="37"/>
      <c r="G256" s="56"/>
    </row>
    <row r="257" spans="1:9" ht="24.95" customHeight="1" x14ac:dyDescent="0.25">
      <c r="A257" s="269" t="s">
        <v>48</v>
      </c>
      <c r="B257" s="270"/>
      <c r="C257" s="271"/>
      <c r="D257" s="44" t="s">
        <v>49</v>
      </c>
      <c r="E257" s="51">
        <f>E259+E261+E265+E269+E281+E273+E278</f>
        <v>47543.630000000005</v>
      </c>
      <c r="F257" s="51">
        <f>F259+F261+F265+F269+F281+F273+F278</f>
        <v>36074.930000000008</v>
      </c>
      <c r="G257" s="51"/>
    </row>
    <row r="258" spans="1:9" s="59" customFormat="1" ht="24.95" customHeight="1" x14ac:dyDescent="0.2">
      <c r="A258" s="257" t="s">
        <v>64</v>
      </c>
      <c r="B258" s="258"/>
      <c r="C258" s="259"/>
      <c r="D258" s="75" t="s">
        <v>30</v>
      </c>
      <c r="E258" s="56">
        <f>E259</f>
        <v>2080</v>
      </c>
      <c r="F258" s="56">
        <f>F259</f>
        <v>0</v>
      </c>
      <c r="G258" s="56">
        <f t="shared" si="13"/>
        <v>0</v>
      </c>
      <c r="I258" s="117"/>
    </row>
    <row r="259" spans="1:9" ht="24.95" customHeight="1" x14ac:dyDescent="0.25">
      <c r="A259" s="260">
        <v>42</v>
      </c>
      <c r="B259" s="261"/>
      <c r="C259" s="262"/>
      <c r="D259" s="123" t="s">
        <v>17</v>
      </c>
      <c r="E259" s="124">
        <v>2080</v>
      </c>
      <c r="F259" s="124"/>
      <c r="G259" s="125">
        <f t="shared" si="13"/>
        <v>0</v>
      </c>
    </row>
    <row r="260" spans="1:9" s="59" customFormat="1" ht="24.95" customHeight="1" x14ac:dyDescent="0.2">
      <c r="A260" s="257" t="s">
        <v>86</v>
      </c>
      <c r="B260" s="258"/>
      <c r="C260" s="259"/>
      <c r="D260" s="75" t="s">
        <v>69</v>
      </c>
      <c r="E260" s="56">
        <f>E261</f>
        <v>1800</v>
      </c>
      <c r="F260" s="56">
        <f>F261</f>
        <v>1800</v>
      </c>
      <c r="G260" s="56">
        <f t="shared" si="13"/>
        <v>100</v>
      </c>
      <c r="I260" s="117"/>
    </row>
    <row r="261" spans="1:9" ht="24.95" customHeight="1" x14ac:dyDescent="0.25">
      <c r="A261" s="260">
        <v>42</v>
      </c>
      <c r="B261" s="261"/>
      <c r="C261" s="262"/>
      <c r="D261" s="123" t="s">
        <v>17</v>
      </c>
      <c r="E261" s="124">
        <v>1800</v>
      </c>
      <c r="F261" s="124">
        <f>F262+F263</f>
        <v>1800</v>
      </c>
      <c r="G261" s="125">
        <f t="shared" si="13"/>
        <v>100</v>
      </c>
    </row>
    <row r="262" spans="1:9" ht="24.95" customHeight="1" x14ac:dyDescent="0.25">
      <c r="A262" s="251">
        <v>4221</v>
      </c>
      <c r="B262" s="252"/>
      <c r="C262" s="253"/>
      <c r="D262" s="97" t="s">
        <v>158</v>
      </c>
      <c r="E262" s="37"/>
      <c r="F262" s="37">
        <v>1442.5</v>
      </c>
      <c r="G262" s="56"/>
    </row>
    <row r="263" spans="1:9" ht="24.95" customHeight="1" x14ac:dyDescent="0.25">
      <c r="A263" s="251">
        <v>4226</v>
      </c>
      <c r="B263" s="252"/>
      <c r="C263" s="253"/>
      <c r="D263" s="197" t="s">
        <v>241</v>
      </c>
      <c r="E263" s="37"/>
      <c r="F263" s="37">
        <v>357.5</v>
      </c>
      <c r="G263" s="56"/>
    </row>
    <row r="264" spans="1:9" s="59" customFormat="1" ht="24.95" customHeight="1" x14ac:dyDescent="0.2">
      <c r="A264" s="257" t="s">
        <v>66</v>
      </c>
      <c r="B264" s="258"/>
      <c r="C264" s="259"/>
      <c r="D264" s="75" t="s">
        <v>85</v>
      </c>
      <c r="E264" s="56">
        <f>E265</f>
        <v>13000</v>
      </c>
      <c r="F264" s="56">
        <f>F265</f>
        <v>4039.1</v>
      </c>
      <c r="G264" s="56">
        <f t="shared" si="13"/>
        <v>31.069999999999997</v>
      </c>
      <c r="I264" s="117"/>
    </row>
    <row r="265" spans="1:9" ht="24.95" customHeight="1" x14ac:dyDescent="0.25">
      <c r="A265" s="260">
        <v>42</v>
      </c>
      <c r="B265" s="261"/>
      <c r="C265" s="262"/>
      <c r="D265" s="123" t="s">
        <v>17</v>
      </c>
      <c r="E265" s="124">
        <v>13000</v>
      </c>
      <c r="F265" s="124">
        <f>F266+F267</f>
        <v>4039.1</v>
      </c>
      <c r="G265" s="125">
        <f t="shared" si="13"/>
        <v>31.069999999999997</v>
      </c>
    </row>
    <row r="266" spans="1:9" ht="24.95" customHeight="1" x14ac:dyDescent="0.25">
      <c r="A266" s="251">
        <v>4221</v>
      </c>
      <c r="B266" s="252"/>
      <c r="C266" s="253"/>
      <c r="D266" s="97" t="s">
        <v>158</v>
      </c>
      <c r="E266" s="37"/>
      <c r="F266" s="37">
        <v>2114.1</v>
      </c>
      <c r="G266" s="56"/>
    </row>
    <row r="267" spans="1:9" ht="24.95" customHeight="1" x14ac:dyDescent="0.25">
      <c r="A267" s="251">
        <v>4227</v>
      </c>
      <c r="B267" s="252"/>
      <c r="C267" s="253"/>
      <c r="D267" s="96" t="s">
        <v>159</v>
      </c>
      <c r="E267" s="37"/>
      <c r="F267" s="37">
        <v>1925</v>
      </c>
      <c r="G267" s="56"/>
    </row>
    <row r="268" spans="1:9" s="59" customFormat="1" ht="24.95" customHeight="1" x14ac:dyDescent="0.2">
      <c r="A268" s="257" t="s">
        <v>87</v>
      </c>
      <c r="B268" s="258"/>
      <c r="C268" s="259"/>
      <c r="D268" s="75" t="s">
        <v>71</v>
      </c>
      <c r="E268" s="56">
        <f>E269</f>
        <v>4105.83</v>
      </c>
      <c r="F268" s="56">
        <f>F269</f>
        <v>4105.83</v>
      </c>
      <c r="G268" s="56">
        <f t="shared" si="13"/>
        <v>100</v>
      </c>
      <c r="I268" s="117"/>
    </row>
    <row r="269" spans="1:9" ht="24.95" customHeight="1" x14ac:dyDescent="0.25">
      <c r="A269" s="260">
        <v>42</v>
      </c>
      <c r="B269" s="261"/>
      <c r="C269" s="262"/>
      <c r="D269" s="123" t="s">
        <v>17</v>
      </c>
      <c r="E269" s="124">
        <v>4105.83</v>
      </c>
      <c r="F269" s="124">
        <f>F270+F271</f>
        <v>4105.83</v>
      </c>
      <c r="G269" s="125">
        <f t="shared" si="13"/>
        <v>100</v>
      </c>
    </row>
    <row r="270" spans="1:9" ht="24.95" customHeight="1" x14ac:dyDescent="0.25">
      <c r="A270" s="251">
        <v>4221</v>
      </c>
      <c r="B270" s="252"/>
      <c r="C270" s="253"/>
      <c r="D270" s="97" t="s">
        <v>158</v>
      </c>
      <c r="E270" s="37"/>
      <c r="F270" s="37">
        <f>1171.95</f>
        <v>1171.95</v>
      </c>
      <c r="G270" s="56"/>
    </row>
    <row r="271" spans="1:9" ht="24.95" customHeight="1" x14ac:dyDescent="0.25">
      <c r="A271" s="251">
        <v>4227</v>
      </c>
      <c r="B271" s="252"/>
      <c r="C271" s="253"/>
      <c r="D271" s="96" t="s">
        <v>159</v>
      </c>
      <c r="E271" s="37"/>
      <c r="F271" s="37">
        <v>2933.88</v>
      </c>
      <c r="G271" s="56"/>
    </row>
    <row r="272" spans="1:9" s="107" customFormat="1" ht="24.95" customHeight="1" x14ac:dyDescent="0.2">
      <c r="A272" s="257" t="s">
        <v>67</v>
      </c>
      <c r="B272" s="258"/>
      <c r="C272" s="259"/>
      <c r="D272" s="75" t="s">
        <v>31</v>
      </c>
      <c r="E272" s="106">
        <f>E273</f>
        <v>5803.75</v>
      </c>
      <c r="F272" s="106">
        <f>F273</f>
        <v>5803.75</v>
      </c>
      <c r="G272" s="56">
        <f t="shared" si="13"/>
        <v>100</v>
      </c>
      <c r="I272" s="118"/>
    </row>
    <row r="273" spans="1:9" ht="24.95" customHeight="1" x14ac:dyDescent="0.25">
      <c r="A273" s="260">
        <v>42</v>
      </c>
      <c r="B273" s="261"/>
      <c r="C273" s="262"/>
      <c r="D273" s="123" t="s">
        <v>17</v>
      </c>
      <c r="E273" s="124">
        <v>5803.75</v>
      </c>
      <c r="F273" s="124">
        <f>F274+F275+F276</f>
        <v>5803.75</v>
      </c>
      <c r="G273" s="125">
        <f t="shared" si="13"/>
        <v>100</v>
      </c>
    </row>
    <row r="274" spans="1:9" ht="24.95" customHeight="1" x14ac:dyDescent="0.25">
      <c r="A274" s="251">
        <v>4221</v>
      </c>
      <c r="B274" s="252"/>
      <c r="C274" s="253"/>
      <c r="D274" s="97" t="s">
        <v>158</v>
      </c>
      <c r="E274" s="37"/>
      <c r="F274" s="37">
        <v>5803.75</v>
      </c>
      <c r="G274" s="56"/>
    </row>
    <row r="275" spans="1:9" ht="24.95" customHeight="1" x14ac:dyDescent="0.25">
      <c r="A275" s="251">
        <v>4227</v>
      </c>
      <c r="B275" s="252"/>
      <c r="C275" s="253"/>
      <c r="D275" s="96" t="s">
        <v>159</v>
      </c>
      <c r="E275" s="37"/>
      <c r="F275" s="37"/>
      <c r="G275" s="56"/>
    </row>
    <row r="276" spans="1:9" ht="24.95" customHeight="1" x14ac:dyDescent="0.25">
      <c r="A276" s="251">
        <v>4241</v>
      </c>
      <c r="B276" s="252"/>
      <c r="C276" s="253"/>
      <c r="D276" s="97" t="s">
        <v>162</v>
      </c>
      <c r="E276" s="37"/>
      <c r="F276" s="37"/>
      <c r="G276" s="56"/>
    </row>
    <row r="277" spans="1:9" s="59" customFormat="1" ht="24.95" customHeight="1" x14ac:dyDescent="0.2">
      <c r="A277" s="257" t="s">
        <v>77</v>
      </c>
      <c r="B277" s="258"/>
      <c r="C277" s="259"/>
      <c r="D277" s="196" t="s">
        <v>244</v>
      </c>
      <c r="E277" s="56">
        <f>E278</f>
        <v>1994.05</v>
      </c>
      <c r="F277" s="56">
        <f>F278</f>
        <v>1994.05</v>
      </c>
      <c r="G277" s="56">
        <f t="shared" ref="G277:G278" si="17">(F277/E277)*100</f>
        <v>100</v>
      </c>
      <c r="I277" s="117"/>
    </row>
    <row r="278" spans="1:9" ht="24.95" customHeight="1" x14ac:dyDescent="0.25">
      <c r="A278" s="260">
        <v>42</v>
      </c>
      <c r="B278" s="261"/>
      <c r="C278" s="262"/>
      <c r="D278" s="123" t="s">
        <v>17</v>
      </c>
      <c r="E278" s="124">
        <v>1994.05</v>
      </c>
      <c r="F278" s="124">
        <f>F279</f>
        <v>1994.05</v>
      </c>
      <c r="G278" s="125">
        <f t="shared" si="17"/>
        <v>100</v>
      </c>
    </row>
    <row r="279" spans="1:9" ht="24.95" customHeight="1" x14ac:dyDescent="0.25">
      <c r="A279" s="251">
        <v>4225</v>
      </c>
      <c r="B279" s="252"/>
      <c r="C279" s="253"/>
      <c r="D279" s="97" t="s">
        <v>240</v>
      </c>
      <c r="E279" s="37"/>
      <c r="F279" s="37">
        <v>1994.05</v>
      </c>
      <c r="G279" s="56"/>
    </row>
    <row r="280" spans="1:9" s="59" customFormat="1" ht="24.95" customHeight="1" x14ac:dyDescent="0.2">
      <c r="A280" s="257" t="s">
        <v>62</v>
      </c>
      <c r="B280" s="258"/>
      <c r="C280" s="259"/>
      <c r="D280" s="75" t="s">
        <v>29</v>
      </c>
      <c r="E280" s="56">
        <f>E281</f>
        <v>18760</v>
      </c>
      <c r="F280" s="56">
        <f>F281</f>
        <v>18332.2</v>
      </c>
      <c r="G280" s="56">
        <f t="shared" si="13"/>
        <v>97.719616204690837</v>
      </c>
      <c r="I280" s="117"/>
    </row>
    <row r="281" spans="1:9" ht="24.95" customHeight="1" x14ac:dyDescent="0.25">
      <c r="A281" s="260">
        <v>42</v>
      </c>
      <c r="B281" s="261"/>
      <c r="C281" s="262"/>
      <c r="D281" s="123" t="s">
        <v>17</v>
      </c>
      <c r="E281" s="124">
        <f>1760+17000</f>
        <v>18760</v>
      </c>
      <c r="F281" s="124">
        <f>F282+F283</f>
        <v>18332.2</v>
      </c>
      <c r="G281" s="125">
        <f t="shared" si="13"/>
        <v>97.719616204690837</v>
      </c>
    </row>
    <row r="282" spans="1:9" ht="24.95" customHeight="1" x14ac:dyDescent="0.25">
      <c r="A282" s="251">
        <v>4241</v>
      </c>
      <c r="B282" s="252"/>
      <c r="C282" s="253"/>
      <c r="D282" s="53" t="s">
        <v>174</v>
      </c>
      <c r="E282" s="54"/>
      <c r="F282" s="54">
        <f>326.72+1433.28</f>
        <v>1760</v>
      </c>
      <c r="G282" s="56" t="e">
        <f t="shared" si="13"/>
        <v>#DIV/0!</v>
      </c>
    </row>
    <row r="283" spans="1:9" ht="24.95" customHeight="1" x14ac:dyDescent="0.25">
      <c r="A283" s="251">
        <v>4241</v>
      </c>
      <c r="B283" s="252"/>
      <c r="C283" s="253"/>
      <c r="D283" s="53" t="s">
        <v>175</v>
      </c>
      <c r="E283" s="54"/>
      <c r="F283" s="54">
        <v>16572.2</v>
      </c>
      <c r="G283" s="56" t="e">
        <f t="shared" si="13"/>
        <v>#DIV/0!</v>
      </c>
    </row>
    <row r="284" spans="1:9" ht="24.95" customHeight="1" x14ac:dyDescent="0.25">
      <c r="A284" s="266" t="s">
        <v>50</v>
      </c>
      <c r="B284" s="267"/>
      <c r="C284" s="268"/>
      <c r="D284" s="50" t="s">
        <v>51</v>
      </c>
      <c r="E284" s="52">
        <f>E285+E294+E307+E313+E333+E373+E378</f>
        <v>437732.86</v>
      </c>
      <c r="F284" s="52">
        <f>F285+F294+F307+F313+F333+F373+F378</f>
        <v>430879.61</v>
      </c>
      <c r="G284" s="52"/>
    </row>
    <row r="285" spans="1:9" ht="39.75" customHeight="1" x14ac:dyDescent="0.25">
      <c r="A285" s="269" t="s">
        <v>52</v>
      </c>
      <c r="B285" s="270"/>
      <c r="C285" s="271"/>
      <c r="D285" s="44" t="s">
        <v>243</v>
      </c>
      <c r="E285" s="51">
        <f>E287</f>
        <v>70</v>
      </c>
      <c r="F285" s="51">
        <f t="shared" ref="F285" si="18">F287</f>
        <v>70</v>
      </c>
      <c r="G285" s="51"/>
    </row>
    <row r="286" spans="1:9" s="58" customFormat="1" ht="24.95" customHeight="1" x14ac:dyDescent="0.25">
      <c r="A286" s="257" t="s">
        <v>63</v>
      </c>
      <c r="B286" s="258"/>
      <c r="C286" s="259"/>
      <c r="D286" s="55" t="s">
        <v>4</v>
      </c>
      <c r="E286" s="56">
        <f>E287</f>
        <v>70</v>
      </c>
      <c r="F286" s="56">
        <f t="shared" ref="F286" si="19">F287</f>
        <v>70</v>
      </c>
      <c r="G286" s="56">
        <f t="shared" ref="G286" si="20">(F286/E286)*100</f>
        <v>100</v>
      </c>
      <c r="I286" s="116"/>
    </row>
    <row r="287" spans="1:9" ht="24.95" customHeight="1" x14ac:dyDescent="0.25">
      <c r="A287" s="263">
        <v>3</v>
      </c>
      <c r="B287" s="264"/>
      <c r="C287" s="265"/>
      <c r="D287" s="16" t="s">
        <v>6</v>
      </c>
      <c r="E287" s="37">
        <f>E288+E292</f>
        <v>70</v>
      </c>
      <c r="F287" s="37">
        <f>F292+F288</f>
        <v>70</v>
      </c>
      <c r="G287" s="37"/>
    </row>
    <row r="288" spans="1:9" ht="24.95" customHeight="1" x14ac:dyDescent="0.25">
      <c r="A288" s="272">
        <v>32</v>
      </c>
      <c r="B288" s="273"/>
      <c r="C288" s="274"/>
      <c r="D288" s="123" t="s">
        <v>14</v>
      </c>
      <c r="E288" s="124">
        <v>70</v>
      </c>
      <c r="F288" s="129">
        <f>F291+F289+F290</f>
        <v>70</v>
      </c>
      <c r="G288" s="125">
        <f t="shared" ref="G288:G297" si="21">(F288/E288)*100</f>
        <v>100</v>
      </c>
    </row>
    <row r="289" spans="1:9" ht="24.95" customHeight="1" x14ac:dyDescent="0.25">
      <c r="A289" s="251">
        <v>3211</v>
      </c>
      <c r="B289" s="252"/>
      <c r="C289" s="253"/>
      <c r="D289" s="96" t="s">
        <v>125</v>
      </c>
      <c r="E289" s="71"/>
      <c r="F289" s="71"/>
      <c r="G289" s="130"/>
    </row>
    <row r="290" spans="1:9" ht="24.95" customHeight="1" x14ac:dyDescent="0.25">
      <c r="A290" s="251">
        <v>3221</v>
      </c>
      <c r="B290" s="252"/>
      <c r="C290" s="253"/>
      <c r="D290" s="96" t="s">
        <v>130</v>
      </c>
      <c r="E290" s="71"/>
      <c r="F290" s="71">
        <v>70</v>
      </c>
      <c r="G290" s="130"/>
    </row>
    <row r="291" spans="1:9" ht="24.95" customHeight="1" x14ac:dyDescent="0.25">
      <c r="A291" s="251">
        <v>3299</v>
      </c>
      <c r="B291" s="252"/>
      <c r="C291" s="253"/>
      <c r="D291" s="96" t="s">
        <v>142</v>
      </c>
      <c r="E291" s="37"/>
      <c r="F291" s="37"/>
      <c r="G291" s="56"/>
    </row>
    <row r="292" spans="1:9" ht="24.95" customHeight="1" x14ac:dyDescent="0.25">
      <c r="A292" s="272">
        <v>37</v>
      </c>
      <c r="B292" s="273"/>
      <c r="C292" s="274"/>
      <c r="D292" s="127" t="s">
        <v>22</v>
      </c>
      <c r="E292" s="124">
        <v>0</v>
      </c>
      <c r="F292" s="129">
        <f>F293</f>
        <v>0</v>
      </c>
      <c r="G292" s="125" t="e">
        <f t="shared" si="21"/>
        <v>#DIV/0!</v>
      </c>
    </row>
    <row r="293" spans="1:9" ht="24.95" customHeight="1" x14ac:dyDescent="0.25">
      <c r="A293" s="251">
        <v>3721</v>
      </c>
      <c r="B293" s="252"/>
      <c r="C293" s="253"/>
      <c r="D293" s="96" t="s">
        <v>155</v>
      </c>
      <c r="E293" s="37"/>
      <c r="F293" s="37"/>
      <c r="G293" s="56"/>
    </row>
    <row r="294" spans="1:9" ht="24.95" customHeight="1" x14ac:dyDescent="0.25">
      <c r="A294" s="269" t="s">
        <v>53</v>
      </c>
      <c r="B294" s="270"/>
      <c r="C294" s="271"/>
      <c r="D294" s="44" t="s">
        <v>54</v>
      </c>
      <c r="E294" s="51">
        <f>E296</f>
        <v>170900</v>
      </c>
      <c r="F294" s="51">
        <f t="shared" ref="F294" si="22">F296</f>
        <v>170768.96</v>
      </c>
      <c r="G294" s="51"/>
    </row>
    <row r="295" spans="1:9" s="58" customFormat="1" ht="24.95" customHeight="1" x14ac:dyDescent="0.25">
      <c r="A295" s="257" t="s">
        <v>63</v>
      </c>
      <c r="B295" s="258"/>
      <c r="C295" s="259"/>
      <c r="D295" s="55" t="s">
        <v>4</v>
      </c>
      <c r="E295" s="56">
        <f>E296</f>
        <v>170900</v>
      </c>
      <c r="F295" s="56">
        <f>F296</f>
        <v>170768.96</v>
      </c>
      <c r="G295" s="56">
        <f t="shared" si="21"/>
        <v>99.923323581041544</v>
      </c>
      <c r="I295" s="116"/>
    </row>
    <row r="296" spans="1:9" ht="24.95" customHeight="1" x14ac:dyDescent="0.25">
      <c r="A296" s="263">
        <v>3</v>
      </c>
      <c r="B296" s="264"/>
      <c r="C296" s="265"/>
      <c r="D296" s="18" t="s">
        <v>6</v>
      </c>
      <c r="E296" s="37">
        <f>E297+E304</f>
        <v>170900</v>
      </c>
      <c r="F296" s="37">
        <f>F297+F304</f>
        <v>170768.96</v>
      </c>
      <c r="G296" s="37"/>
    </row>
    <row r="297" spans="1:9" ht="24.95" customHeight="1" x14ac:dyDescent="0.25">
      <c r="A297" s="260">
        <v>31</v>
      </c>
      <c r="B297" s="261"/>
      <c r="C297" s="262"/>
      <c r="D297" s="123" t="s">
        <v>7</v>
      </c>
      <c r="E297" s="124">
        <f>140500+5900+23200</f>
        <v>169600</v>
      </c>
      <c r="F297" s="124">
        <f>F298+F300+F302</f>
        <v>169469.31</v>
      </c>
      <c r="G297" s="125">
        <f t="shared" si="21"/>
        <v>99.922942216981127</v>
      </c>
    </row>
    <row r="298" spans="1:9" ht="24.95" customHeight="1" x14ac:dyDescent="0.25">
      <c r="A298" s="254">
        <v>311</v>
      </c>
      <c r="B298" s="255"/>
      <c r="C298" s="256"/>
      <c r="D298" s="96" t="s">
        <v>119</v>
      </c>
      <c r="E298" s="105"/>
      <c r="F298" s="105">
        <f>F299</f>
        <v>140438.29999999999</v>
      </c>
      <c r="G298" s="38"/>
    </row>
    <row r="299" spans="1:9" ht="24.95" customHeight="1" x14ac:dyDescent="0.25">
      <c r="A299" s="251">
        <v>3111</v>
      </c>
      <c r="B299" s="252"/>
      <c r="C299" s="253"/>
      <c r="D299" s="96" t="s">
        <v>120</v>
      </c>
      <c r="E299" s="37"/>
      <c r="F299" s="37">
        <v>140438.29999999999</v>
      </c>
      <c r="G299" s="38"/>
    </row>
    <row r="300" spans="1:9" ht="24.95" customHeight="1" x14ac:dyDescent="0.25">
      <c r="A300" s="254">
        <v>312</v>
      </c>
      <c r="B300" s="255"/>
      <c r="C300" s="256"/>
      <c r="D300" s="96" t="s">
        <v>121</v>
      </c>
      <c r="E300" s="105"/>
      <c r="F300" s="105">
        <f>F301</f>
        <v>5873.76</v>
      </c>
      <c r="G300" s="38"/>
    </row>
    <row r="301" spans="1:9" ht="24.95" customHeight="1" x14ac:dyDescent="0.25">
      <c r="A301" s="251">
        <v>3121</v>
      </c>
      <c r="B301" s="252"/>
      <c r="C301" s="253"/>
      <c r="D301" s="96" t="s">
        <v>121</v>
      </c>
      <c r="E301" s="37"/>
      <c r="F301" s="37">
        <v>5873.76</v>
      </c>
      <c r="G301" s="38"/>
    </row>
    <row r="302" spans="1:9" ht="24.95" customHeight="1" x14ac:dyDescent="0.25">
      <c r="A302" s="254">
        <v>313</v>
      </c>
      <c r="B302" s="255"/>
      <c r="C302" s="256"/>
      <c r="D302" s="96" t="s">
        <v>122</v>
      </c>
      <c r="E302" s="105"/>
      <c r="F302" s="105">
        <f>F303</f>
        <v>23157.25</v>
      </c>
      <c r="G302" s="38"/>
    </row>
    <row r="303" spans="1:9" ht="24.95" customHeight="1" x14ac:dyDescent="0.25">
      <c r="A303" s="251">
        <v>3132</v>
      </c>
      <c r="B303" s="252"/>
      <c r="C303" s="253"/>
      <c r="D303" s="96" t="s">
        <v>123</v>
      </c>
      <c r="E303" s="37"/>
      <c r="F303" s="37">
        <v>23157.25</v>
      </c>
      <c r="G303" s="38"/>
    </row>
    <row r="304" spans="1:9" ht="24.95" customHeight="1" x14ac:dyDescent="0.25">
      <c r="A304" s="260">
        <v>32</v>
      </c>
      <c r="B304" s="261"/>
      <c r="C304" s="262"/>
      <c r="D304" s="123" t="s">
        <v>79</v>
      </c>
      <c r="E304" s="124">
        <v>1300</v>
      </c>
      <c r="F304" s="124">
        <f>F305</f>
        <v>1299.6500000000001</v>
      </c>
      <c r="G304" s="125">
        <f t="shared" ref="G304" si="23">(F304/E304)*100</f>
        <v>99.973076923076931</v>
      </c>
    </row>
    <row r="305" spans="1:9" ht="24.95" customHeight="1" x14ac:dyDescent="0.25">
      <c r="A305" s="254">
        <v>321</v>
      </c>
      <c r="B305" s="255"/>
      <c r="C305" s="256"/>
      <c r="D305" s="96" t="s">
        <v>124</v>
      </c>
      <c r="E305" s="37"/>
      <c r="F305" s="105">
        <f>F306</f>
        <v>1299.6500000000001</v>
      </c>
      <c r="G305" s="38"/>
    </row>
    <row r="306" spans="1:9" ht="24.95" customHeight="1" x14ac:dyDescent="0.25">
      <c r="A306" s="251">
        <v>3212</v>
      </c>
      <c r="B306" s="252"/>
      <c r="C306" s="253"/>
      <c r="D306" s="96" t="s">
        <v>126</v>
      </c>
      <c r="E306" s="37"/>
      <c r="F306" s="37">
        <v>1299.6500000000001</v>
      </c>
      <c r="G306" s="38"/>
    </row>
    <row r="307" spans="1:9" ht="30.6" customHeight="1" x14ac:dyDescent="0.25">
      <c r="A307" s="269" t="s">
        <v>55</v>
      </c>
      <c r="B307" s="270"/>
      <c r="C307" s="271"/>
      <c r="D307" s="44" t="s">
        <v>78</v>
      </c>
      <c r="E307" s="51">
        <f>E309</f>
        <v>67000</v>
      </c>
      <c r="F307" s="51">
        <f t="shared" ref="F307" si="24">F309</f>
        <v>66764.13</v>
      </c>
      <c r="G307" s="51"/>
    </row>
    <row r="308" spans="1:9" s="58" customFormat="1" ht="24.95" customHeight="1" x14ac:dyDescent="0.25">
      <c r="A308" s="257" t="s">
        <v>63</v>
      </c>
      <c r="B308" s="258"/>
      <c r="C308" s="259"/>
      <c r="D308" s="55" t="s">
        <v>4</v>
      </c>
      <c r="E308" s="56">
        <f>E309</f>
        <v>67000</v>
      </c>
      <c r="F308" s="56">
        <f t="shared" ref="F308:F309" si="25">F309</f>
        <v>66764.13</v>
      </c>
      <c r="G308" s="56">
        <f t="shared" ref="G308" si="26">(F308/E308)*100</f>
        <v>99.647955223880601</v>
      </c>
      <c r="I308" s="116"/>
    </row>
    <row r="309" spans="1:9" ht="24.95" customHeight="1" x14ac:dyDescent="0.25">
      <c r="A309" s="263">
        <v>3</v>
      </c>
      <c r="B309" s="264"/>
      <c r="C309" s="265"/>
      <c r="D309" s="18" t="s">
        <v>6</v>
      </c>
      <c r="E309" s="37">
        <f>E310</f>
        <v>67000</v>
      </c>
      <c r="F309" s="37">
        <f t="shared" si="25"/>
        <v>66764.13</v>
      </c>
      <c r="G309" s="37"/>
    </row>
    <row r="310" spans="1:9" ht="27.6" customHeight="1" x14ac:dyDescent="0.25">
      <c r="A310" s="272">
        <v>37</v>
      </c>
      <c r="B310" s="273"/>
      <c r="C310" s="274"/>
      <c r="D310" s="127" t="s">
        <v>22</v>
      </c>
      <c r="E310" s="124">
        <f>60+66940</f>
        <v>67000</v>
      </c>
      <c r="F310" s="129">
        <f>F312+F311</f>
        <v>66764.13</v>
      </c>
      <c r="G310" s="125">
        <f t="shared" ref="G310:G316" si="27">(F310/E310)*100</f>
        <v>99.647955223880601</v>
      </c>
    </row>
    <row r="311" spans="1:9" ht="27.6" customHeight="1" x14ac:dyDescent="0.25">
      <c r="A311" s="251">
        <v>3721</v>
      </c>
      <c r="B311" s="252"/>
      <c r="C311" s="253"/>
      <c r="D311" s="96" t="s">
        <v>155</v>
      </c>
      <c r="E311" s="37"/>
      <c r="F311" s="37">
        <v>57.33</v>
      </c>
      <c r="G311" s="56"/>
    </row>
    <row r="312" spans="1:9" ht="27.6" customHeight="1" x14ac:dyDescent="0.25">
      <c r="A312" s="251">
        <v>3722</v>
      </c>
      <c r="B312" s="252"/>
      <c r="C312" s="253"/>
      <c r="D312" s="96" t="s">
        <v>156</v>
      </c>
      <c r="E312" s="37"/>
      <c r="F312" s="37">
        <v>66706.8</v>
      </c>
      <c r="G312" s="56"/>
    </row>
    <row r="313" spans="1:9" ht="24.95" customHeight="1" x14ac:dyDescent="0.25">
      <c r="A313" s="269" t="s">
        <v>56</v>
      </c>
      <c r="B313" s="270"/>
      <c r="C313" s="271"/>
      <c r="D313" s="44" t="s">
        <v>228</v>
      </c>
      <c r="E313" s="73">
        <f>E314+E323+E328</f>
        <v>10350</v>
      </c>
      <c r="F313" s="51">
        <f>F314+F323+F328</f>
        <v>10308.5</v>
      </c>
      <c r="G313" s="51"/>
    </row>
    <row r="314" spans="1:9" ht="24.95" customHeight="1" x14ac:dyDescent="0.25">
      <c r="A314" s="257" t="s">
        <v>63</v>
      </c>
      <c r="B314" s="258"/>
      <c r="C314" s="259"/>
      <c r="D314" s="69" t="s">
        <v>4</v>
      </c>
      <c r="E314" s="72">
        <f>E315</f>
        <v>4050</v>
      </c>
      <c r="F314" s="104">
        <f>F315</f>
        <v>4048.7700000000004</v>
      </c>
      <c r="G314" s="56">
        <f t="shared" si="27"/>
        <v>99.969629629629637</v>
      </c>
    </row>
    <row r="315" spans="1:9" ht="24.95" customHeight="1" x14ac:dyDescent="0.25">
      <c r="A315" s="263">
        <v>3</v>
      </c>
      <c r="B315" s="264"/>
      <c r="C315" s="265"/>
      <c r="D315" s="68" t="s">
        <v>6</v>
      </c>
      <c r="E315" s="71">
        <f>E316+E320</f>
        <v>4050</v>
      </c>
      <c r="F315" s="71">
        <f>F316+F320</f>
        <v>4048.7700000000004</v>
      </c>
      <c r="G315" s="70"/>
    </row>
    <row r="316" spans="1:9" ht="24.95" customHeight="1" x14ac:dyDescent="0.25">
      <c r="A316" s="260">
        <v>32</v>
      </c>
      <c r="B316" s="261"/>
      <c r="C316" s="262"/>
      <c r="D316" s="123" t="s">
        <v>14</v>
      </c>
      <c r="E316" s="124">
        <v>4050</v>
      </c>
      <c r="F316" s="124">
        <f>F317</f>
        <v>4048.7700000000004</v>
      </c>
      <c r="G316" s="125">
        <f t="shared" si="27"/>
        <v>99.969629629629637</v>
      </c>
    </row>
    <row r="317" spans="1:9" ht="24.95" customHeight="1" x14ac:dyDescent="0.25">
      <c r="A317" s="254">
        <v>322</v>
      </c>
      <c r="B317" s="255"/>
      <c r="C317" s="256"/>
      <c r="D317" s="96" t="s">
        <v>129</v>
      </c>
      <c r="E317" s="71"/>
      <c r="F317" s="70">
        <f>F318+F319</f>
        <v>4048.7700000000004</v>
      </c>
      <c r="G317" s="70"/>
    </row>
    <row r="318" spans="1:9" ht="24.95" customHeight="1" x14ac:dyDescent="0.25">
      <c r="A318" s="251">
        <v>3222</v>
      </c>
      <c r="B318" s="252"/>
      <c r="C318" s="253"/>
      <c r="D318" s="96" t="s">
        <v>131</v>
      </c>
      <c r="E318" s="71"/>
      <c r="F318" s="71">
        <v>1686.39</v>
      </c>
      <c r="G318" s="70"/>
    </row>
    <row r="319" spans="1:9" ht="24.95" customHeight="1" x14ac:dyDescent="0.25">
      <c r="A319" s="251">
        <v>3225</v>
      </c>
      <c r="B319" s="252"/>
      <c r="C319" s="253"/>
      <c r="D319" s="96" t="s">
        <v>133</v>
      </c>
      <c r="E319" s="71"/>
      <c r="F319" s="71">
        <v>2362.38</v>
      </c>
      <c r="G319" s="70"/>
    </row>
    <row r="320" spans="1:9" ht="24.95" customHeight="1" x14ac:dyDescent="0.25">
      <c r="A320" s="260">
        <v>42</v>
      </c>
      <c r="B320" s="261"/>
      <c r="C320" s="262"/>
      <c r="D320" s="123" t="s">
        <v>17</v>
      </c>
      <c r="E320" s="124"/>
      <c r="F320" s="124">
        <f>F321+F322</f>
        <v>0</v>
      </c>
      <c r="G320" s="125" t="e">
        <f t="shared" ref="G320" si="28">(F320/E320)*100</f>
        <v>#DIV/0!</v>
      </c>
    </row>
    <row r="321" spans="1:9" ht="24.95" customHeight="1" x14ac:dyDescent="0.25">
      <c r="A321" s="251">
        <v>4221</v>
      </c>
      <c r="B321" s="252"/>
      <c r="C321" s="253"/>
      <c r="D321" s="97" t="s">
        <v>158</v>
      </c>
      <c r="E321" s="71"/>
      <c r="F321" s="71"/>
      <c r="G321" s="70"/>
    </row>
    <row r="322" spans="1:9" ht="24.95" customHeight="1" x14ac:dyDescent="0.25">
      <c r="A322" s="251">
        <v>4227</v>
      </c>
      <c r="B322" s="252"/>
      <c r="C322" s="253"/>
      <c r="D322" s="96" t="s">
        <v>159</v>
      </c>
      <c r="E322" s="71"/>
      <c r="F322" s="71"/>
      <c r="G322" s="70"/>
    </row>
    <row r="323" spans="1:9" s="58" customFormat="1" ht="24.95" customHeight="1" x14ac:dyDescent="0.25">
      <c r="A323" s="257" t="s">
        <v>62</v>
      </c>
      <c r="B323" s="258"/>
      <c r="C323" s="259"/>
      <c r="D323" s="55" t="s">
        <v>29</v>
      </c>
      <c r="E323" s="56">
        <f>E324</f>
        <v>0</v>
      </c>
      <c r="F323" s="56">
        <f t="shared" ref="F323:F324" si="29">F324</f>
        <v>0</v>
      </c>
      <c r="G323" s="56" t="e">
        <f t="shared" ref="G323" si="30">(F323/E323)*100</f>
        <v>#DIV/0!</v>
      </c>
      <c r="I323" s="116"/>
    </row>
    <row r="324" spans="1:9" ht="24.95" customHeight="1" x14ac:dyDescent="0.25">
      <c r="A324" s="263">
        <v>3</v>
      </c>
      <c r="B324" s="264"/>
      <c r="C324" s="265"/>
      <c r="D324" s="18" t="s">
        <v>6</v>
      </c>
      <c r="E324" s="37">
        <f>E325</f>
        <v>0</v>
      </c>
      <c r="F324" s="37">
        <f t="shared" si="29"/>
        <v>0</v>
      </c>
      <c r="G324" s="37"/>
    </row>
    <row r="325" spans="1:9" ht="24.95" customHeight="1" x14ac:dyDescent="0.25">
      <c r="A325" s="260">
        <v>32</v>
      </c>
      <c r="B325" s="261"/>
      <c r="C325" s="262"/>
      <c r="D325" s="123" t="s">
        <v>14</v>
      </c>
      <c r="E325" s="124"/>
      <c r="F325" s="124">
        <f>F326</f>
        <v>0</v>
      </c>
      <c r="G325" s="125" t="e">
        <f t="shared" ref="G325" si="31">(F325/E325)*100</f>
        <v>#DIV/0!</v>
      </c>
    </row>
    <row r="326" spans="1:9" ht="24.95" customHeight="1" x14ac:dyDescent="0.25">
      <c r="A326" s="254">
        <v>322</v>
      </c>
      <c r="B326" s="255"/>
      <c r="C326" s="256"/>
      <c r="D326" s="96" t="s">
        <v>129</v>
      </c>
      <c r="E326" s="37"/>
      <c r="F326" s="105">
        <f>F327</f>
        <v>0</v>
      </c>
      <c r="G326" s="38"/>
    </row>
    <row r="327" spans="1:9" ht="24.95" customHeight="1" x14ac:dyDescent="0.25">
      <c r="A327" s="251">
        <v>3222</v>
      </c>
      <c r="B327" s="252"/>
      <c r="C327" s="253"/>
      <c r="D327" s="96" t="s">
        <v>131</v>
      </c>
      <c r="E327" s="37"/>
      <c r="F327" s="37"/>
      <c r="G327" s="38"/>
    </row>
    <row r="328" spans="1:9" s="58" customFormat="1" ht="24.95" customHeight="1" x14ac:dyDescent="0.25">
      <c r="A328" s="257" t="s">
        <v>77</v>
      </c>
      <c r="B328" s="258"/>
      <c r="C328" s="259"/>
      <c r="D328" s="55" t="s">
        <v>33</v>
      </c>
      <c r="E328" s="56">
        <f>E329</f>
        <v>6300</v>
      </c>
      <c r="F328" s="56">
        <f>F329</f>
        <v>6259.73</v>
      </c>
      <c r="G328" s="56">
        <f t="shared" ref="G328" si="32">(F328/E328)*100</f>
        <v>99.360793650793639</v>
      </c>
      <c r="I328" s="116"/>
    </row>
    <row r="329" spans="1:9" ht="24.95" customHeight="1" x14ac:dyDescent="0.25">
      <c r="A329" s="263">
        <v>3</v>
      </c>
      <c r="B329" s="264"/>
      <c r="C329" s="265"/>
      <c r="D329" s="45" t="s">
        <v>6</v>
      </c>
      <c r="E329" s="37">
        <f>E330</f>
        <v>6300</v>
      </c>
      <c r="F329" s="37">
        <f t="shared" ref="F329" si="33">F330</f>
        <v>6259.73</v>
      </c>
      <c r="G329" s="37"/>
    </row>
    <row r="330" spans="1:9" ht="24.95" customHeight="1" x14ac:dyDescent="0.25">
      <c r="A330" s="260">
        <v>32</v>
      </c>
      <c r="B330" s="261"/>
      <c r="C330" s="262"/>
      <c r="D330" s="123" t="s">
        <v>14</v>
      </c>
      <c r="E330" s="124">
        <v>6300</v>
      </c>
      <c r="F330" s="124">
        <f>F331</f>
        <v>6259.73</v>
      </c>
      <c r="G330" s="125">
        <f t="shared" ref="G330" si="34">(F330/E330)*100</f>
        <v>99.360793650793639</v>
      </c>
    </row>
    <row r="331" spans="1:9" ht="24.95" customHeight="1" x14ac:dyDescent="0.25">
      <c r="A331" s="254">
        <v>322</v>
      </c>
      <c r="B331" s="255"/>
      <c r="C331" s="256"/>
      <c r="D331" s="96" t="s">
        <v>129</v>
      </c>
      <c r="E331" s="37"/>
      <c r="F331" s="105">
        <f>F332</f>
        <v>6259.73</v>
      </c>
      <c r="G331" s="38"/>
    </row>
    <row r="332" spans="1:9" ht="24.95" customHeight="1" x14ac:dyDescent="0.25">
      <c r="A332" s="251">
        <v>3222</v>
      </c>
      <c r="B332" s="252"/>
      <c r="C332" s="253"/>
      <c r="D332" s="96" t="s">
        <v>131</v>
      </c>
      <c r="E332" s="37"/>
      <c r="F332" s="37">
        <v>6259.73</v>
      </c>
      <c r="G332" s="38"/>
    </row>
    <row r="333" spans="1:9" ht="30" customHeight="1" x14ac:dyDescent="0.25">
      <c r="A333" s="269" t="s">
        <v>57</v>
      </c>
      <c r="B333" s="270"/>
      <c r="C333" s="271"/>
      <c r="D333" s="44" t="s">
        <v>227</v>
      </c>
      <c r="E333" s="51">
        <f>E334+E347+E360</f>
        <v>149912.85999999999</v>
      </c>
      <c r="F333" s="51">
        <f>F334+F347+F360</f>
        <v>149912.85999999999</v>
      </c>
      <c r="G333" s="51"/>
    </row>
    <row r="334" spans="1:9" s="58" customFormat="1" ht="24.95" customHeight="1" x14ac:dyDescent="0.25">
      <c r="A334" s="257" t="s">
        <v>63</v>
      </c>
      <c r="B334" s="258"/>
      <c r="C334" s="259"/>
      <c r="D334" s="55" t="s">
        <v>4</v>
      </c>
      <c r="E334" s="56">
        <f>E335</f>
        <v>76038.649999999994</v>
      </c>
      <c r="F334" s="56">
        <f>F335</f>
        <v>76038.649999999994</v>
      </c>
      <c r="G334" s="56">
        <f t="shared" ref="G334" si="35">(F334/E334)*100</f>
        <v>100</v>
      </c>
      <c r="I334" s="116"/>
    </row>
    <row r="335" spans="1:9" ht="24.95" customHeight="1" x14ac:dyDescent="0.25">
      <c r="A335" s="263">
        <v>3</v>
      </c>
      <c r="B335" s="264"/>
      <c r="C335" s="265"/>
      <c r="D335" s="18" t="s">
        <v>6</v>
      </c>
      <c r="E335" s="37">
        <f>SUM(E336:E343)</f>
        <v>76038.649999999994</v>
      </c>
      <c r="F335" s="37">
        <f>F336+F343</f>
        <v>76038.649999999994</v>
      </c>
      <c r="G335" s="37"/>
    </row>
    <row r="336" spans="1:9" ht="24.95" customHeight="1" x14ac:dyDescent="0.25">
      <c r="A336" s="260">
        <v>31</v>
      </c>
      <c r="B336" s="261"/>
      <c r="C336" s="262"/>
      <c r="D336" s="123" t="s">
        <v>7</v>
      </c>
      <c r="E336" s="124">
        <v>71796.009999999995</v>
      </c>
      <c r="F336" s="124">
        <f>F337+F339+F341</f>
        <v>71796.009999999995</v>
      </c>
      <c r="G336" s="125">
        <f t="shared" ref="G336" si="36">(F336/E336)*100</f>
        <v>100</v>
      </c>
    </row>
    <row r="337" spans="1:9" ht="24.95" customHeight="1" x14ac:dyDescent="0.25">
      <c r="A337" s="254">
        <v>311</v>
      </c>
      <c r="B337" s="255"/>
      <c r="C337" s="256"/>
      <c r="D337" s="96" t="s">
        <v>119</v>
      </c>
      <c r="E337" s="37"/>
      <c r="F337" s="105">
        <f>F338</f>
        <v>56761.5</v>
      </c>
      <c r="G337" s="38"/>
    </row>
    <row r="338" spans="1:9" ht="24.95" customHeight="1" x14ac:dyDescent="0.25">
      <c r="A338" s="251">
        <v>3111</v>
      </c>
      <c r="B338" s="252"/>
      <c r="C338" s="253"/>
      <c r="D338" s="96" t="s">
        <v>120</v>
      </c>
      <c r="E338" s="37"/>
      <c r="F338" s="37">
        <v>56761.5</v>
      </c>
      <c r="G338" s="38"/>
    </row>
    <row r="339" spans="1:9" ht="24.95" customHeight="1" x14ac:dyDescent="0.25">
      <c r="A339" s="254">
        <v>312</v>
      </c>
      <c r="B339" s="255"/>
      <c r="C339" s="256"/>
      <c r="D339" s="96" t="s">
        <v>121</v>
      </c>
      <c r="E339" s="37"/>
      <c r="F339" s="105">
        <f>F340</f>
        <v>5680.64</v>
      </c>
      <c r="G339" s="38"/>
    </row>
    <row r="340" spans="1:9" ht="24.95" customHeight="1" x14ac:dyDescent="0.25">
      <c r="A340" s="251">
        <v>3121</v>
      </c>
      <c r="B340" s="252"/>
      <c r="C340" s="253"/>
      <c r="D340" s="96" t="s">
        <v>121</v>
      </c>
      <c r="E340" s="37"/>
      <c r="F340" s="37">
        <v>5680.64</v>
      </c>
      <c r="G340" s="38"/>
    </row>
    <row r="341" spans="1:9" ht="24.95" customHeight="1" x14ac:dyDescent="0.25">
      <c r="A341" s="254">
        <v>313</v>
      </c>
      <c r="B341" s="255"/>
      <c r="C341" s="256"/>
      <c r="D341" s="96" t="s">
        <v>122</v>
      </c>
      <c r="E341" s="37"/>
      <c r="F341" s="105">
        <f>F342</f>
        <v>9353.8700000000008</v>
      </c>
      <c r="G341" s="38"/>
    </row>
    <row r="342" spans="1:9" ht="24.95" customHeight="1" x14ac:dyDescent="0.25">
      <c r="A342" s="251">
        <v>3132</v>
      </c>
      <c r="B342" s="252"/>
      <c r="C342" s="253"/>
      <c r="D342" s="96" t="s">
        <v>123</v>
      </c>
      <c r="E342" s="37"/>
      <c r="F342" s="37">
        <v>9353.8700000000008</v>
      </c>
      <c r="G342" s="38"/>
    </row>
    <row r="343" spans="1:9" ht="24.95" customHeight="1" x14ac:dyDescent="0.25">
      <c r="A343" s="260">
        <v>32</v>
      </c>
      <c r="B343" s="261"/>
      <c r="C343" s="262"/>
      <c r="D343" s="123" t="s">
        <v>79</v>
      </c>
      <c r="E343" s="124">
        <v>4242.6400000000003</v>
      </c>
      <c r="F343" s="124">
        <f>F344</f>
        <v>4242.6399999999994</v>
      </c>
      <c r="G343" s="125">
        <f t="shared" ref="G343" si="37">(F343/E343)*100</f>
        <v>99.999999999999972</v>
      </c>
    </row>
    <row r="344" spans="1:9" ht="24.95" customHeight="1" x14ac:dyDescent="0.25">
      <c r="A344" s="254">
        <v>321</v>
      </c>
      <c r="B344" s="255"/>
      <c r="C344" s="256"/>
      <c r="D344" s="96" t="s">
        <v>124</v>
      </c>
      <c r="E344" s="37"/>
      <c r="F344" s="105">
        <f>F345+F346</f>
        <v>4242.6399999999994</v>
      </c>
      <c r="G344" s="38"/>
    </row>
    <row r="345" spans="1:9" ht="24.95" customHeight="1" x14ac:dyDescent="0.25">
      <c r="A345" s="251">
        <v>3211</v>
      </c>
      <c r="B345" s="252"/>
      <c r="C345" s="253"/>
      <c r="D345" s="96" t="s">
        <v>125</v>
      </c>
      <c r="E345" s="37"/>
      <c r="F345" s="37">
        <v>243.46</v>
      </c>
      <c r="G345" s="38"/>
    </row>
    <row r="346" spans="1:9" ht="24.95" customHeight="1" x14ac:dyDescent="0.25">
      <c r="A346" s="251">
        <v>3212</v>
      </c>
      <c r="B346" s="252"/>
      <c r="C346" s="253"/>
      <c r="D346" s="96" t="s">
        <v>126</v>
      </c>
      <c r="E346" s="37"/>
      <c r="F346" s="37">
        <v>3999.18</v>
      </c>
      <c r="G346" s="38"/>
    </row>
    <row r="347" spans="1:9" s="58" customFormat="1" ht="24.95" customHeight="1" x14ac:dyDescent="0.25">
      <c r="A347" s="257" t="s">
        <v>62</v>
      </c>
      <c r="B347" s="258"/>
      <c r="C347" s="259"/>
      <c r="D347" s="55" t="s">
        <v>29</v>
      </c>
      <c r="E347" s="56">
        <f>E348</f>
        <v>11081.15</v>
      </c>
      <c r="F347" s="56">
        <f>F348</f>
        <v>11081.150000000001</v>
      </c>
      <c r="G347" s="56">
        <f t="shared" ref="G347" si="38">(F347/E347)*100</f>
        <v>100.00000000000003</v>
      </c>
      <c r="I347" s="116"/>
    </row>
    <row r="348" spans="1:9" ht="24.95" customHeight="1" x14ac:dyDescent="0.25">
      <c r="A348" s="263">
        <v>3</v>
      </c>
      <c r="B348" s="264"/>
      <c r="C348" s="265"/>
      <c r="D348" s="43" t="s">
        <v>6</v>
      </c>
      <c r="E348" s="37">
        <f>SUM(E349:E356)</f>
        <v>11081.15</v>
      </c>
      <c r="F348" s="37">
        <f>F349+F356</f>
        <v>11081.150000000001</v>
      </c>
      <c r="G348" s="37"/>
    </row>
    <row r="349" spans="1:9" ht="24.95" customHeight="1" x14ac:dyDescent="0.25">
      <c r="A349" s="260">
        <v>31</v>
      </c>
      <c r="B349" s="261"/>
      <c r="C349" s="262"/>
      <c r="D349" s="123" t="s">
        <v>7</v>
      </c>
      <c r="E349" s="124">
        <v>10462.99</v>
      </c>
      <c r="F349" s="124">
        <f>F354+F350+F352</f>
        <v>10462.990000000002</v>
      </c>
      <c r="G349" s="125">
        <f t="shared" ref="G349" si="39">(F349/E349)*100</f>
        <v>100.00000000000003</v>
      </c>
    </row>
    <row r="350" spans="1:9" ht="24.95" customHeight="1" x14ac:dyDescent="0.25">
      <c r="A350" s="254">
        <v>311</v>
      </c>
      <c r="B350" s="255"/>
      <c r="C350" s="256"/>
      <c r="D350" s="96" t="s">
        <v>119</v>
      </c>
      <c r="E350" s="37"/>
      <c r="F350" s="105">
        <f>F351</f>
        <v>8272.43</v>
      </c>
      <c r="G350" s="56"/>
    </row>
    <row r="351" spans="1:9" ht="24.95" customHeight="1" x14ac:dyDescent="0.25">
      <c r="A351" s="251">
        <v>3111</v>
      </c>
      <c r="B351" s="252"/>
      <c r="C351" s="253"/>
      <c r="D351" s="96" t="s">
        <v>120</v>
      </c>
      <c r="E351" s="37"/>
      <c r="F351" s="37">
        <v>8272.43</v>
      </c>
      <c r="G351" s="56"/>
    </row>
    <row r="352" spans="1:9" ht="24.95" customHeight="1" x14ac:dyDescent="0.25">
      <c r="A352" s="254">
        <v>312</v>
      </c>
      <c r="B352" s="255"/>
      <c r="C352" s="256"/>
      <c r="D352" s="96" t="s">
        <v>121</v>
      </c>
      <c r="E352" s="37"/>
      <c r="F352" s="105">
        <f>F353</f>
        <v>827.68</v>
      </c>
      <c r="G352" s="38"/>
    </row>
    <row r="353" spans="1:9" ht="24.95" customHeight="1" x14ac:dyDescent="0.25">
      <c r="A353" s="251">
        <v>3121</v>
      </c>
      <c r="B353" s="252"/>
      <c r="C353" s="253"/>
      <c r="D353" s="96" t="s">
        <v>121</v>
      </c>
      <c r="E353" s="37"/>
      <c r="F353" s="37">
        <v>827.68</v>
      </c>
      <c r="G353" s="38"/>
    </row>
    <row r="354" spans="1:9" ht="24.95" customHeight="1" x14ac:dyDescent="0.25">
      <c r="A354" s="254">
        <v>313</v>
      </c>
      <c r="B354" s="255"/>
      <c r="C354" s="256"/>
      <c r="D354" s="96" t="s">
        <v>122</v>
      </c>
      <c r="E354" s="37"/>
      <c r="F354" s="105">
        <f>F355</f>
        <v>1362.88</v>
      </c>
      <c r="G354" s="38"/>
    </row>
    <row r="355" spans="1:9" ht="24.95" customHeight="1" x14ac:dyDescent="0.25">
      <c r="A355" s="251">
        <v>3132</v>
      </c>
      <c r="B355" s="252"/>
      <c r="C355" s="253"/>
      <c r="D355" s="96" t="s">
        <v>123</v>
      </c>
      <c r="E355" s="37"/>
      <c r="F355" s="37">
        <v>1362.88</v>
      </c>
      <c r="G355" s="38"/>
    </row>
    <row r="356" spans="1:9" ht="24.95" customHeight="1" x14ac:dyDescent="0.25">
      <c r="A356" s="260">
        <v>32</v>
      </c>
      <c r="B356" s="261"/>
      <c r="C356" s="262"/>
      <c r="D356" s="123" t="s">
        <v>79</v>
      </c>
      <c r="E356" s="124">
        <v>618.16</v>
      </c>
      <c r="F356" s="124">
        <f>F357</f>
        <v>618.16000000000008</v>
      </c>
      <c r="G356" s="125">
        <f t="shared" ref="G356" si="40">(F356/E356)*100</f>
        <v>100.00000000000003</v>
      </c>
    </row>
    <row r="357" spans="1:9" ht="24.95" customHeight="1" x14ac:dyDescent="0.25">
      <c r="A357" s="254">
        <v>321</v>
      </c>
      <c r="B357" s="255"/>
      <c r="C357" s="256"/>
      <c r="D357" s="96" t="s">
        <v>124</v>
      </c>
      <c r="E357" s="37"/>
      <c r="F357" s="105">
        <f>F359+F358</f>
        <v>618.16000000000008</v>
      </c>
      <c r="G357" s="38"/>
    </row>
    <row r="358" spans="1:9" ht="24.95" customHeight="1" x14ac:dyDescent="0.25">
      <c r="A358" s="251">
        <v>3211</v>
      </c>
      <c r="B358" s="252"/>
      <c r="C358" s="253"/>
      <c r="D358" s="96" t="s">
        <v>125</v>
      </c>
      <c r="E358" s="37"/>
      <c r="F358" s="37">
        <v>35.47</v>
      </c>
      <c r="G358" s="38"/>
    </row>
    <row r="359" spans="1:9" ht="24.95" customHeight="1" x14ac:dyDescent="0.25">
      <c r="A359" s="251">
        <v>3212</v>
      </c>
      <c r="B359" s="252"/>
      <c r="C359" s="253"/>
      <c r="D359" s="96" t="s">
        <v>126</v>
      </c>
      <c r="E359" s="37"/>
      <c r="F359" s="37">
        <v>582.69000000000005</v>
      </c>
      <c r="G359" s="38"/>
    </row>
    <row r="360" spans="1:9" s="58" customFormat="1" ht="24.95" customHeight="1" x14ac:dyDescent="0.25">
      <c r="A360" s="257" t="s">
        <v>77</v>
      </c>
      <c r="B360" s="258"/>
      <c r="C360" s="259"/>
      <c r="D360" s="55" t="s">
        <v>33</v>
      </c>
      <c r="E360" s="56">
        <f>E361</f>
        <v>62793.06</v>
      </c>
      <c r="F360" s="56">
        <f>F361</f>
        <v>62793.06</v>
      </c>
      <c r="G360" s="56">
        <f t="shared" ref="G360" si="41">(F360/E360)*100</f>
        <v>100</v>
      </c>
      <c r="I360" s="116"/>
    </row>
    <row r="361" spans="1:9" ht="24.95" customHeight="1" x14ac:dyDescent="0.25">
      <c r="A361" s="263">
        <v>3</v>
      </c>
      <c r="B361" s="264"/>
      <c r="C361" s="265"/>
      <c r="D361" s="43" t="s">
        <v>6</v>
      </c>
      <c r="E361" s="37">
        <f>SUM(E362:E369)</f>
        <v>62793.06</v>
      </c>
      <c r="F361" s="37">
        <f>F362+F369</f>
        <v>62793.06</v>
      </c>
      <c r="G361" s="37"/>
    </row>
    <row r="362" spans="1:9" ht="24.95" customHeight="1" x14ac:dyDescent="0.25">
      <c r="A362" s="260">
        <v>31</v>
      </c>
      <c r="B362" s="261"/>
      <c r="C362" s="262"/>
      <c r="D362" s="123" t="s">
        <v>7</v>
      </c>
      <c r="E362" s="124">
        <v>59289.04</v>
      </c>
      <c r="F362" s="124">
        <f>F363+F367+F365</f>
        <v>59289.04</v>
      </c>
      <c r="G362" s="125">
        <f t="shared" ref="G362" si="42">(F362/E362)*100</f>
        <v>100</v>
      </c>
    </row>
    <row r="363" spans="1:9" ht="24.95" customHeight="1" x14ac:dyDescent="0.25">
      <c r="A363" s="254">
        <v>311</v>
      </c>
      <c r="B363" s="255"/>
      <c r="C363" s="256"/>
      <c r="D363" s="96" t="s">
        <v>119</v>
      </c>
      <c r="E363" s="37"/>
      <c r="F363" s="105">
        <f>F364</f>
        <v>46871.93</v>
      </c>
      <c r="G363" s="38"/>
    </row>
    <row r="364" spans="1:9" ht="24.95" customHeight="1" x14ac:dyDescent="0.25">
      <c r="A364" s="251">
        <v>3111</v>
      </c>
      <c r="B364" s="252"/>
      <c r="C364" s="253"/>
      <c r="D364" s="96" t="s">
        <v>120</v>
      </c>
      <c r="E364" s="37"/>
      <c r="F364" s="37">
        <v>46871.93</v>
      </c>
      <c r="G364" s="38"/>
    </row>
    <row r="365" spans="1:9" ht="24.95" customHeight="1" x14ac:dyDescent="0.25">
      <c r="A365" s="254">
        <v>312</v>
      </c>
      <c r="B365" s="255"/>
      <c r="C365" s="256"/>
      <c r="D365" s="96" t="s">
        <v>121</v>
      </c>
      <c r="E365" s="37"/>
      <c r="F365" s="105">
        <f>F366</f>
        <v>4691.68</v>
      </c>
      <c r="G365" s="38"/>
    </row>
    <row r="366" spans="1:9" ht="24.95" customHeight="1" x14ac:dyDescent="0.25">
      <c r="A366" s="251">
        <v>3121</v>
      </c>
      <c r="B366" s="252"/>
      <c r="C366" s="253"/>
      <c r="D366" s="96" t="s">
        <v>121</v>
      </c>
      <c r="E366" s="37"/>
      <c r="F366" s="37">
        <v>4691.68</v>
      </c>
      <c r="G366" s="38"/>
    </row>
    <row r="367" spans="1:9" ht="24.95" customHeight="1" x14ac:dyDescent="0.25">
      <c r="A367" s="254">
        <v>313</v>
      </c>
      <c r="B367" s="255"/>
      <c r="C367" s="256"/>
      <c r="D367" s="96" t="s">
        <v>122</v>
      </c>
      <c r="E367" s="37"/>
      <c r="F367" s="105">
        <f>F368</f>
        <v>7725.43</v>
      </c>
      <c r="G367" s="38"/>
    </row>
    <row r="368" spans="1:9" ht="24.95" customHeight="1" x14ac:dyDescent="0.25">
      <c r="A368" s="251">
        <v>3132</v>
      </c>
      <c r="B368" s="252"/>
      <c r="C368" s="253"/>
      <c r="D368" s="96" t="s">
        <v>123</v>
      </c>
      <c r="E368" s="37"/>
      <c r="F368" s="37">
        <v>7725.43</v>
      </c>
      <c r="G368" s="38"/>
    </row>
    <row r="369" spans="1:9" ht="24.95" customHeight="1" x14ac:dyDescent="0.25">
      <c r="A369" s="260">
        <v>32</v>
      </c>
      <c r="B369" s="261"/>
      <c r="C369" s="262"/>
      <c r="D369" s="123" t="s">
        <v>79</v>
      </c>
      <c r="E369" s="124">
        <v>3504.02</v>
      </c>
      <c r="F369" s="124">
        <f>F370</f>
        <v>3504.02</v>
      </c>
      <c r="G369" s="125">
        <f t="shared" ref="G369:G381" si="43">(F369/E369)*100</f>
        <v>100</v>
      </c>
    </row>
    <row r="370" spans="1:9" ht="24.95" customHeight="1" x14ac:dyDescent="0.25">
      <c r="A370" s="254">
        <v>321</v>
      </c>
      <c r="B370" s="255"/>
      <c r="C370" s="256"/>
      <c r="D370" s="96" t="s">
        <v>124</v>
      </c>
      <c r="E370" s="37"/>
      <c r="F370" s="105">
        <f>F372+F371</f>
        <v>3504.02</v>
      </c>
      <c r="G370" s="56"/>
    </row>
    <row r="371" spans="1:9" ht="24.95" customHeight="1" x14ac:dyDescent="0.25">
      <c r="A371" s="251">
        <v>3211</v>
      </c>
      <c r="B371" s="252"/>
      <c r="C371" s="253"/>
      <c r="D371" s="96" t="s">
        <v>125</v>
      </c>
      <c r="E371" s="37"/>
      <c r="F371" s="37">
        <v>201.07</v>
      </c>
      <c r="G371" s="38"/>
    </row>
    <row r="372" spans="1:9" ht="24.95" customHeight="1" x14ac:dyDescent="0.25">
      <c r="A372" s="251">
        <v>3212</v>
      </c>
      <c r="B372" s="252"/>
      <c r="C372" s="253"/>
      <c r="D372" s="96" t="s">
        <v>126</v>
      </c>
      <c r="E372" s="37"/>
      <c r="F372" s="37">
        <v>3302.95</v>
      </c>
      <c r="G372" s="56"/>
    </row>
    <row r="373" spans="1:9" ht="24.95" customHeight="1" x14ac:dyDescent="0.25">
      <c r="A373" s="269" t="s">
        <v>58</v>
      </c>
      <c r="B373" s="270"/>
      <c r="C373" s="271"/>
      <c r="D373" s="44" t="s">
        <v>59</v>
      </c>
      <c r="E373" s="51">
        <f>E374</f>
        <v>0</v>
      </c>
      <c r="F373" s="51">
        <f t="shared" ref="F373:F374" si="44">F374</f>
        <v>0</v>
      </c>
      <c r="G373" s="51"/>
    </row>
    <row r="374" spans="1:9" s="58" customFormat="1" ht="24.95" customHeight="1" x14ac:dyDescent="0.25">
      <c r="A374" s="257" t="s">
        <v>63</v>
      </c>
      <c r="B374" s="258"/>
      <c r="C374" s="259"/>
      <c r="D374" s="55" t="s">
        <v>4</v>
      </c>
      <c r="E374" s="56">
        <f>E375</f>
        <v>0</v>
      </c>
      <c r="F374" s="56">
        <f t="shared" si="44"/>
        <v>0</v>
      </c>
      <c r="G374" s="56" t="e">
        <f t="shared" si="43"/>
        <v>#DIV/0!</v>
      </c>
      <c r="I374" s="116"/>
    </row>
    <row r="375" spans="1:9" ht="24.95" customHeight="1" x14ac:dyDescent="0.25">
      <c r="A375" s="263">
        <v>3</v>
      </c>
      <c r="B375" s="264"/>
      <c r="C375" s="265"/>
      <c r="D375" s="18" t="s">
        <v>6</v>
      </c>
      <c r="E375" s="37">
        <f>E376+E377</f>
        <v>0</v>
      </c>
      <c r="F375" s="37">
        <f t="shared" ref="F375" si="45">F376+F377</f>
        <v>0</v>
      </c>
      <c r="G375" s="37"/>
    </row>
    <row r="376" spans="1:9" ht="24.95" customHeight="1" x14ac:dyDescent="0.25">
      <c r="A376" s="260">
        <v>31</v>
      </c>
      <c r="B376" s="261"/>
      <c r="C376" s="262"/>
      <c r="D376" s="123" t="s">
        <v>7</v>
      </c>
      <c r="E376" s="124"/>
      <c r="F376" s="124"/>
      <c r="G376" s="125" t="e">
        <f t="shared" si="43"/>
        <v>#DIV/0!</v>
      </c>
    </row>
    <row r="377" spans="1:9" ht="24.95" customHeight="1" x14ac:dyDescent="0.25">
      <c r="A377" s="260">
        <v>32</v>
      </c>
      <c r="B377" s="261"/>
      <c r="C377" s="262"/>
      <c r="D377" s="123" t="s">
        <v>79</v>
      </c>
      <c r="E377" s="124"/>
      <c r="F377" s="124"/>
      <c r="G377" s="125" t="e">
        <f t="shared" si="43"/>
        <v>#DIV/0!</v>
      </c>
    </row>
    <row r="378" spans="1:9" ht="24.95" customHeight="1" x14ac:dyDescent="0.25">
      <c r="A378" s="269" t="s">
        <v>60</v>
      </c>
      <c r="B378" s="270"/>
      <c r="C378" s="271"/>
      <c r="D378" s="44" t="s">
        <v>61</v>
      </c>
      <c r="E378" s="51">
        <f>E380</f>
        <v>39500</v>
      </c>
      <c r="F378" s="51">
        <f>F380</f>
        <v>33055.160000000003</v>
      </c>
      <c r="G378" s="51"/>
    </row>
    <row r="379" spans="1:9" s="58" customFormat="1" ht="24.95" customHeight="1" x14ac:dyDescent="0.25">
      <c r="A379" s="257" t="s">
        <v>63</v>
      </c>
      <c r="B379" s="258"/>
      <c r="C379" s="259"/>
      <c r="D379" s="55" t="s">
        <v>4</v>
      </c>
      <c r="E379" s="56">
        <f>E380</f>
        <v>39500</v>
      </c>
      <c r="F379" s="56">
        <f>F380</f>
        <v>33055.160000000003</v>
      </c>
      <c r="G379" s="56">
        <f t="shared" si="43"/>
        <v>83.683949367088616</v>
      </c>
      <c r="I379" s="116"/>
    </row>
    <row r="380" spans="1:9" ht="24.95" customHeight="1" x14ac:dyDescent="0.25">
      <c r="A380" s="263">
        <v>3</v>
      </c>
      <c r="B380" s="264"/>
      <c r="C380" s="265"/>
      <c r="D380" s="18" t="s">
        <v>6</v>
      </c>
      <c r="E380" s="37">
        <f>E381+E388</f>
        <v>39500</v>
      </c>
      <c r="F380" s="37">
        <f>F381+F388</f>
        <v>33055.160000000003</v>
      </c>
      <c r="G380" s="37"/>
    </row>
    <row r="381" spans="1:9" ht="24.95" customHeight="1" x14ac:dyDescent="0.25">
      <c r="A381" s="260">
        <v>31</v>
      </c>
      <c r="B381" s="261"/>
      <c r="C381" s="262"/>
      <c r="D381" s="123" t="s">
        <v>7</v>
      </c>
      <c r="E381" s="124">
        <f>30000+1000+5000</f>
        <v>36000</v>
      </c>
      <c r="F381" s="124">
        <f>F382+F386+F384</f>
        <v>29622.27</v>
      </c>
      <c r="G381" s="125">
        <f t="shared" si="43"/>
        <v>82.284083333333342</v>
      </c>
    </row>
    <row r="382" spans="1:9" ht="24.95" customHeight="1" x14ac:dyDescent="0.25">
      <c r="A382" s="254">
        <v>311</v>
      </c>
      <c r="B382" s="255"/>
      <c r="C382" s="256"/>
      <c r="D382" s="96" t="s">
        <v>119</v>
      </c>
      <c r="E382" s="37"/>
      <c r="F382" s="105">
        <f>F383</f>
        <v>28080.54</v>
      </c>
      <c r="G382" s="38"/>
    </row>
    <row r="383" spans="1:9" ht="24.95" customHeight="1" x14ac:dyDescent="0.25">
      <c r="A383" s="251">
        <v>3111</v>
      </c>
      <c r="B383" s="252"/>
      <c r="C383" s="253"/>
      <c r="D383" s="96" t="s">
        <v>120</v>
      </c>
      <c r="E383" s="37"/>
      <c r="F383" s="37">
        <v>28080.54</v>
      </c>
      <c r="G383" s="38"/>
    </row>
    <row r="384" spans="1:9" ht="24.95" customHeight="1" x14ac:dyDescent="0.25">
      <c r="A384" s="254">
        <v>312</v>
      </c>
      <c r="B384" s="255"/>
      <c r="C384" s="256"/>
      <c r="D384" s="96" t="s">
        <v>121</v>
      </c>
      <c r="E384" s="37"/>
      <c r="F384" s="105">
        <f>F385</f>
        <v>700</v>
      </c>
      <c r="G384" s="38"/>
    </row>
    <row r="385" spans="1:7" ht="24.95" customHeight="1" x14ac:dyDescent="0.25">
      <c r="A385" s="251">
        <v>3121</v>
      </c>
      <c r="B385" s="252"/>
      <c r="C385" s="253"/>
      <c r="D385" s="96" t="s">
        <v>121</v>
      </c>
      <c r="E385" s="37"/>
      <c r="F385" s="37">
        <v>700</v>
      </c>
      <c r="G385" s="38"/>
    </row>
    <row r="386" spans="1:7" ht="24.95" customHeight="1" x14ac:dyDescent="0.25">
      <c r="A386" s="254">
        <v>313</v>
      </c>
      <c r="B386" s="255"/>
      <c r="C386" s="256"/>
      <c r="D386" s="96" t="s">
        <v>122</v>
      </c>
      <c r="E386" s="37"/>
      <c r="F386" s="105">
        <f>F387</f>
        <v>841.73</v>
      </c>
      <c r="G386" s="38"/>
    </row>
    <row r="387" spans="1:7" ht="24.95" customHeight="1" x14ac:dyDescent="0.25">
      <c r="A387" s="251">
        <v>3132</v>
      </c>
      <c r="B387" s="252"/>
      <c r="C387" s="253"/>
      <c r="D387" s="96" t="s">
        <v>123</v>
      </c>
      <c r="E387" s="37"/>
      <c r="F387" s="37">
        <v>841.73</v>
      </c>
      <c r="G387" s="38"/>
    </row>
    <row r="388" spans="1:7" ht="24.95" customHeight="1" x14ac:dyDescent="0.25">
      <c r="A388" s="260">
        <v>32</v>
      </c>
      <c r="B388" s="261"/>
      <c r="C388" s="262"/>
      <c r="D388" s="123" t="s">
        <v>14</v>
      </c>
      <c r="E388" s="124">
        <f>500+1000+2000</f>
        <v>3500</v>
      </c>
      <c r="F388" s="124">
        <f>F389+F392+F394</f>
        <v>3432.8900000000003</v>
      </c>
      <c r="G388" s="125">
        <f t="shared" ref="G388" si="46">(F388/E388)*100</f>
        <v>98.082571428571441</v>
      </c>
    </row>
    <row r="389" spans="1:7" ht="24.95" customHeight="1" x14ac:dyDescent="0.25">
      <c r="A389" s="254">
        <v>321</v>
      </c>
      <c r="B389" s="255"/>
      <c r="C389" s="256"/>
      <c r="D389" s="96" t="s">
        <v>124</v>
      </c>
      <c r="E389" s="37"/>
      <c r="F389" s="105">
        <f>F391+F390</f>
        <v>762.95</v>
      </c>
      <c r="G389" s="38"/>
    </row>
    <row r="390" spans="1:7" ht="24.95" customHeight="1" x14ac:dyDescent="0.25">
      <c r="A390" s="251">
        <v>3211</v>
      </c>
      <c r="B390" s="252"/>
      <c r="C390" s="253"/>
      <c r="D390" s="96" t="s">
        <v>125</v>
      </c>
      <c r="E390" s="37"/>
      <c r="F390" s="37">
        <v>329.52</v>
      </c>
      <c r="G390" s="38"/>
    </row>
    <row r="391" spans="1:7" ht="24.95" customHeight="1" x14ac:dyDescent="0.25">
      <c r="A391" s="251">
        <v>3212</v>
      </c>
      <c r="B391" s="252"/>
      <c r="C391" s="253"/>
      <c r="D391" s="96" t="s">
        <v>126</v>
      </c>
      <c r="E391" s="37"/>
      <c r="F391" s="37">
        <v>433.43</v>
      </c>
      <c r="G391" s="38"/>
    </row>
    <row r="392" spans="1:7" ht="24.95" customHeight="1" x14ac:dyDescent="0.25">
      <c r="A392" s="254">
        <v>322</v>
      </c>
      <c r="B392" s="255"/>
      <c r="C392" s="256"/>
      <c r="D392" s="96" t="s">
        <v>129</v>
      </c>
      <c r="E392" s="105"/>
      <c r="F392" s="105">
        <f>F393</f>
        <v>1459.94</v>
      </c>
      <c r="G392" s="56"/>
    </row>
    <row r="393" spans="1:7" ht="24.95" customHeight="1" x14ac:dyDescent="0.25">
      <c r="A393" s="251">
        <v>3221</v>
      </c>
      <c r="B393" s="252"/>
      <c r="C393" s="253"/>
      <c r="D393" s="96" t="s">
        <v>130</v>
      </c>
      <c r="E393" s="37"/>
      <c r="F393" s="37">
        <v>1459.94</v>
      </c>
      <c r="G393" s="56"/>
    </row>
    <row r="394" spans="1:7" ht="24.95" customHeight="1" x14ac:dyDescent="0.25">
      <c r="A394" s="254">
        <v>323</v>
      </c>
      <c r="B394" s="255"/>
      <c r="C394" s="256"/>
      <c r="D394" s="96" t="s">
        <v>134</v>
      </c>
      <c r="E394" s="105"/>
      <c r="F394" s="105">
        <f>F395</f>
        <v>1210</v>
      </c>
      <c r="G394" s="56"/>
    </row>
    <row r="395" spans="1:7" ht="24.95" customHeight="1" x14ac:dyDescent="0.25">
      <c r="A395" s="251">
        <v>3237</v>
      </c>
      <c r="B395" s="252"/>
      <c r="C395" s="253"/>
      <c r="D395" s="96" t="s">
        <v>139</v>
      </c>
      <c r="E395" s="37"/>
      <c r="F395" s="37">
        <v>1210</v>
      </c>
      <c r="G395" s="56"/>
    </row>
  </sheetData>
  <mergeCells count="387">
    <mergeCell ref="A232:C232"/>
    <mergeCell ref="A219:C219"/>
    <mergeCell ref="A231:C231"/>
    <mergeCell ref="A230:C230"/>
    <mergeCell ref="A206:C206"/>
    <mergeCell ref="A207:C207"/>
    <mergeCell ref="A208:C208"/>
    <mergeCell ref="A277:C277"/>
    <mergeCell ref="A278:C278"/>
    <mergeCell ref="A279:C279"/>
    <mergeCell ref="A187:C187"/>
    <mergeCell ref="A189:C189"/>
    <mergeCell ref="A190:C190"/>
    <mergeCell ref="A191:C191"/>
    <mergeCell ref="A192:C192"/>
    <mergeCell ref="A193:C193"/>
    <mergeCell ref="A199:C199"/>
    <mergeCell ref="A236:C236"/>
    <mergeCell ref="A227:C227"/>
    <mergeCell ref="A246:C246"/>
    <mergeCell ref="A233:C233"/>
    <mergeCell ref="A224:C224"/>
    <mergeCell ref="A228:C228"/>
    <mergeCell ref="A229:C229"/>
    <mergeCell ref="A262:C262"/>
    <mergeCell ref="A217:C217"/>
    <mergeCell ref="A218:C218"/>
    <mergeCell ref="A223:C223"/>
    <mergeCell ref="A225:C225"/>
    <mergeCell ref="A226:C226"/>
    <mergeCell ref="A202:C202"/>
    <mergeCell ref="A394:C394"/>
    <mergeCell ref="A395:C395"/>
    <mergeCell ref="A346:C346"/>
    <mergeCell ref="A290:C290"/>
    <mergeCell ref="D4:F4"/>
    <mergeCell ref="A289:C289"/>
    <mergeCell ref="A105:C105"/>
    <mergeCell ref="A282:C282"/>
    <mergeCell ref="A384:C384"/>
    <mergeCell ref="A385:C385"/>
    <mergeCell ref="A21:C21"/>
    <mergeCell ref="A23:C23"/>
    <mergeCell ref="A49:C49"/>
    <mergeCell ref="A50:C50"/>
    <mergeCell ref="A51:C51"/>
    <mergeCell ref="A76:C76"/>
    <mergeCell ref="A77:C77"/>
    <mergeCell ref="A78:C78"/>
    <mergeCell ref="A81:C81"/>
    <mergeCell ref="A82:C82"/>
    <mergeCell ref="A83:C83"/>
    <mergeCell ref="A146:C146"/>
    <mergeCell ref="A99:C99"/>
    <mergeCell ref="A100:C100"/>
    <mergeCell ref="A392:C392"/>
    <mergeCell ref="A393:C393"/>
    <mergeCell ref="A216:C216"/>
    <mergeCell ref="A166:C166"/>
    <mergeCell ref="A168:C168"/>
    <mergeCell ref="A201:C201"/>
    <mergeCell ref="A200:C200"/>
    <mergeCell ref="A203:C203"/>
    <mergeCell ref="A188:C188"/>
    <mergeCell ref="A195:C195"/>
    <mergeCell ref="A204:C204"/>
    <mergeCell ref="A205:C205"/>
    <mergeCell ref="A197:C197"/>
    <mergeCell ref="A198:C198"/>
    <mergeCell ref="A194:C194"/>
    <mergeCell ref="A196:C196"/>
    <mergeCell ref="A391:C391"/>
    <mergeCell ref="A389:C389"/>
    <mergeCell ref="A298:C298"/>
    <mergeCell ref="A299:C299"/>
    <mergeCell ref="A176:C176"/>
    <mergeCell ref="A177:C177"/>
    <mergeCell ref="A178:C178"/>
    <mergeCell ref="A302:C302"/>
    <mergeCell ref="A92:C92"/>
    <mergeCell ref="A93:C93"/>
    <mergeCell ref="A173:C173"/>
    <mergeCell ref="A186:C186"/>
    <mergeCell ref="A124:C124"/>
    <mergeCell ref="A123:C123"/>
    <mergeCell ref="A162:C162"/>
    <mergeCell ref="A142:C142"/>
    <mergeCell ref="A143:C143"/>
    <mergeCell ref="A157:C157"/>
    <mergeCell ref="A141:C141"/>
    <mergeCell ref="A144:C144"/>
    <mergeCell ref="A132:C132"/>
    <mergeCell ref="A170:C170"/>
    <mergeCell ref="A159:C159"/>
    <mergeCell ref="A160:C160"/>
    <mergeCell ref="A163:C163"/>
    <mergeCell ref="A164:C164"/>
    <mergeCell ref="A165:C165"/>
    <mergeCell ref="A167:C167"/>
    <mergeCell ref="A122:C122"/>
    <mergeCell ref="A153:C153"/>
    <mergeCell ref="A154:C154"/>
    <mergeCell ref="A179:C179"/>
    <mergeCell ref="A73:C73"/>
    <mergeCell ref="A86:C86"/>
    <mergeCell ref="A91:C91"/>
    <mergeCell ref="A89:C89"/>
    <mergeCell ref="A90:C90"/>
    <mergeCell ref="A63:C63"/>
    <mergeCell ref="A64:C64"/>
    <mergeCell ref="A65:C65"/>
    <mergeCell ref="A66:C66"/>
    <mergeCell ref="A84:C84"/>
    <mergeCell ref="A85:C85"/>
    <mergeCell ref="A68:C68"/>
    <mergeCell ref="A69:C69"/>
    <mergeCell ref="A67:C67"/>
    <mergeCell ref="A74:C74"/>
    <mergeCell ref="A75:C75"/>
    <mergeCell ref="A80:C80"/>
    <mergeCell ref="A79:C79"/>
    <mergeCell ref="A87:C87"/>
    <mergeCell ref="A88:C88"/>
    <mergeCell ref="A60:C60"/>
    <mergeCell ref="A38:C38"/>
    <mergeCell ref="A32:C32"/>
    <mergeCell ref="A33:C33"/>
    <mergeCell ref="A30:C30"/>
    <mergeCell ref="A31:C31"/>
    <mergeCell ref="A70:C70"/>
    <mergeCell ref="A71:C71"/>
    <mergeCell ref="A72:C72"/>
    <mergeCell ref="A44:C44"/>
    <mergeCell ref="A47:C47"/>
    <mergeCell ref="A48:C48"/>
    <mergeCell ref="A54:C54"/>
    <mergeCell ref="A55:C55"/>
    <mergeCell ref="A45:C45"/>
    <mergeCell ref="A46:C46"/>
    <mergeCell ref="A52:C52"/>
    <mergeCell ref="A53:C53"/>
    <mergeCell ref="A34:C34"/>
    <mergeCell ref="A35:C35"/>
    <mergeCell ref="A36:C36"/>
    <mergeCell ref="A42:C42"/>
    <mergeCell ref="A43:C43"/>
    <mergeCell ref="A56:C56"/>
    <mergeCell ref="A303:C303"/>
    <mergeCell ref="A300:C300"/>
    <mergeCell ref="A301:C301"/>
    <mergeCell ref="A305:C305"/>
    <mergeCell ref="A306:C306"/>
    <mergeCell ref="A350:C350"/>
    <mergeCell ref="A351:C351"/>
    <mergeCell ref="A367:C367"/>
    <mergeCell ref="A307:C307"/>
    <mergeCell ref="A315:C315"/>
    <mergeCell ref="A316:C316"/>
    <mergeCell ref="A314:C314"/>
    <mergeCell ref="A312:C312"/>
    <mergeCell ref="A309:C309"/>
    <mergeCell ref="A310:C310"/>
    <mergeCell ref="A330:C330"/>
    <mergeCell ref="A333:C333"/>
    <mergeCell ref="A334:C334"/>
    <mergeCell ref="A313:C313"/>
    <mergeCell ref="A320:C320"/>
    <mergeCell ref="A321:C321"/>
    <mergeCell ref="A368:C368"/>
    <mergeCell ref="A370:C370"/>
    <mergeCell ref="A372:C372"/>
    <mergeCell ref="A317:C317"/>
    <mergeCell ref="A318:C318"/>
    <mergeCell ref="A331:C331"/>
    <mergeCell ref="A332:C332"/>
    <mergeCell ref="A326:C326"/>
    <mergeCell ref="A327:C327"/>
    <mergeCell ref="A369:C369"/>
    <mergeCell ref="A356:C356"/>
    <mergeCell ref="A349:C349"/>
    <mergeCell ref="A347:C347"/>
    <mergeCell ref="A348:C348"/>
    <mergeCell ref="A337:C337"/>
    <mergeCell ref="A340:C340"/>
    <mergeCell ref="A343:C343"/>
    <mergeCell ref="A339:C339"/>
    <mergeCell ref="A338:C338"/>
    <mergeCell ref="A335:C335"/>
    <mergeCell ref="A325:C325"/>
    <mergeCell ref="A328:C328"/>
    <mergeCell ref="A329:C329"/>
    <mergeCell ref="A324:C324"/>
    <mergeCell ref="A382:C382"/>
    <mergeCell ref="A388:C388"/>
    <mergeCell ref="A383:C383"/>
    <mergeCell ref="A386:C386"/>
    <mergeCell ref="A363:C363"/>
    <mergeCell ref="A364:C364"/>
    <mergeCell ref="A354:C354"/>
    <mergeCell ref="A355:C355"/>
    <mergeCell ref="A341:C341"/>
    <mergeCell ref="A342:C342"/>
    <mergeCell ref="A344:C344"/>
    <mergeCell ref="A345:C345"/>
    <mergeCell ref="A357:C357"/>
    <mergeCell ref="A359:C359"/>
    <mergeCell ref="A378:C378"/>
    <mergeCell ref="A379:C379"/>
    <mergeCell ref="A380:C380"/>
    <mergeCell ref="A376:C376"/>
    <mergeCell ref="A381:C381"/>
    <mergeCell ref="A375:C375"/>
    <mergeCell ref="A377:C377"/>
    <mergeCell ref="A360:C360"/>
    <mergeCell ref="A361:C361"/>
    <mergeCell ref="A362:C362"/>
    <mergeCell ref="A297:C297"/>
    <mergeCell ref="A258:C258"/>
    <mergeCell ref="A249:C249"/>
    <mergeCell ref="A259:C259"/>
    <mergeCell ref="A283:C283"/>
    <mergeCell ref="A266:C266"/>
    <mergeCell ref="A270:C270"/>
    <mergeCell ref="A271:C271"/>
    <mergeCell ref="A281:C281"/>
    <mergeCell ref="A251:C251"/>
    <mergeCell ref="A252:C252"/>
    <mergeCell ref="A268:C268"/>
    <mergeCell ref="A269:C269"/>
    <mergeCell ref="A264:C264"/>
    <mergeCell ref="A265:C265"/>
    <mergeCell ref="A293:C293"/>
    <mergeCell ref="A275:C275"/>
    <mergeCell ref="A276:C276"/>
    <mergeCell ref="A267:C267"/>
    <mergeCell ref="A280:C280"/>
    <mergeCell ref="A288:C288"/>
    <mergeCell ref="A272:C272"/>
    <mergeCell ref="A273:C273"/>
    <mergeCell ref="A256:C256"/>
    <mergeCell ref="A220:C220"/>
    <mergeCell ref="A221:C221"/>
    <mergeCell ref="A180:C180"/>
    <mergeCell ref="A181:C181"/>
    <mergeCell ref="A182:C182"/>
    <mergeCell ref="A183:C183"/>
    <mergeCell ref="A184:C184"/>
    <mergeCell ref="A185:C185"/>
    <mergeCell ref="A150:C150"/>
    <mergeCell ref="A151:C151"/>
    <mergeCell ref="A210:C210"/>
    <mergeCell ref="A212:C212"/>
    <mergeCell ref="A213:C213"/>
    <mergeCell ref="A214:C214"/>
    <mergeCell ref="A133:C133"/>
    <mergeCell ref="A136:C136"/>
    <mergeCell ref="A137:C137"/>
    <mergeCell ref="A134:C134"/>
    <mergeCell ref="A106:C106"/>
    <mergeCell ref="A98:C98"/>
    <mergeCell ref="A209:C209"/>
    <mergeCell ref="A215:C215"/>
    <mergeCell ref="A211:C211"/>
    <mergeCell ref="A129:C129"/>
    <mergeCell ref="A130:C130"/>
    <mergeCell ref="A131:C131"/>
    <mergeCell ref="A135:C135"/>
    <mergeCell ref="A62:C62"/>
    <mergeCell ref="A39:C39"/>
    <mergeCell ref="A40:C40"/>
    <mergeCell ref="A274:C274"/>
    <mergeCell ref="A243:C243"/>
    <mergeCell ref="A222:C222"/>
    <mergeCell ref="A238:C238"/>
    <mergeCell ref="A239:C239"/>
    <mergeCell ref="A260:C260"/>
    <mergeCell ref="A255:C255"/>
    <mergeCell ref="A242:C242"/>
    <mergeCell ref="A248:C248"/>
    <mergeCell ref="A240:C240"/>
    <mergeCell ref="A257:C257"/>
    <mergeCell ref="A241:C241"/>
    <mergeCell ref="A245:C245"/>
    <mergeCell ref="A234:C234"/>
    <mergeCell ref="A235:C235"/>
    <mergeCell ref="A250:C250"/>
    <mergeCell ref="A263:C263"/>
    <mergeCell ref="A247:C247"/>
    <mergeCell ref="A253:C253"/>
    <mergeCell ref="A115:C115"/>
    <mergeCell ref="A237:C237"/>
    <mergeCell ref="A127:C127"/>
    <mergeCell ref="A128:C128"/>
    <mergeCell ref="A147:C147"/>
    <mergeCell ref="A152:C152"/>
    <mergeCell ref="A9:C9"/>
    <mergeCell ref="A10:C10"/>
    <mergeCell ref="A14:C14"/>
    <mergeCell ref="A101:C101"/>
    <mergeCell ref="A11:C11"/>
    <mergeCell ref="A12:C12"/>
    <mergeCell ref="A13:C13"/>
    <mergeCell ref="A61:C61"/>
    <mergeCell ref="A15:C15"/>
    <mergeCell ref="A16:C16"/>
    <mergeCell ref="A17:C17"/>
    <mergeCell ref="A37:C37"/>
    <mergeCell ref="A18:C18"/>
    <mergeCell ref="A22:C22"/>
    <mergeCell ref="A24:C24"/>
    <mergeCell ref="A25:C25"/>
    <mergeCell ref="A27:C27"/>
    <mergeCell ref="A28:C28"/>
    <mergeCell ref="A26:C26"/>
    <mergeCell ref="A57:C57"/>
    <mergeCell ref="A7:D7"/>
    <mergeCell ref="A261:C261"/>
    <mergeCell ref="A373:C373"/>
    <mergeCell ref="A374:C374"/>
    <mergeCell ref="A113:C113"/>
    <mergeCell ref="A117:C117"/>
    <mergeCell ref="A171:C171"/>
    <mergeCell ref="A172:C172"/>
    <mergeCell ref="A118:C118"/>
    <mergeCell ref="A119:C119"/>
    <mergeCell ref="A126:C126"/>
    <mergeCell ref="A244:C244"/>
    <mergeCell ref="A116:C116"/>
    <mergeCell ref="A169:C169"/>
    <mergeCell ref="A138:C138"/>
    <mergeCell ref="A139:C139"/>
    <mergeCell ref="A140:C140"/>
    <mergeCell ref="A148:C148"/>
    <mergeCell ref="A149:C149"/>
    <mergeCell ref="A155:C155"/>
    <mergeCell ref="A145:C145"/>
    <mergeCell ref="A95:C95"/>
    <mergeCell ref="A96:C96"/>
    <mergeCell ref="A114:C114"/>
    <mergeCell ref="A1:H1"/>
    <mergeCell ref="A3:G3"/>
    <mergeCell ref="A41:C41"/>
    <mergeCell ref="A336:C336"/>
    <mergeCell ref="A295:C295"/>
    <mergeCell ref="A296:C296"/>
    <mergeCell ref="A284:C284"/>
    <mergeCell ref="A285:C285"/>
    <mergeCell ref="A286:C286"/>
    <mergeCell ref="A287:C287"/>
    <mergeCell ref="A294:C294"/>
    <mergeCell ref="A292:C292"/>
    <mergeCell ref="A304:C304"/>
    <mergeCell ref="A291:C291"/>
    <mergeCell ref="A308:C308"/>
    <mergeCell ref="A323:C323"/>
    <mergeCell ref="A322:C322"/>
    <mergeCell ref="A319:C319"/>
    <mergeCell ref="A174:C174"/>
    <mergeCell ref="A175:C175"/>
    <mergeCell ref="A254:C254"/>
    <mergeCell ref="A8:D8"/>
    <mergeCell ref="A19:C19"/>
    <mergeCell ref="A20:C20"/>
    <mergeCell ref="A390:C390"/>
    <mergeCell ref="A352:C352"/>
    <mergeCell ref="A353:C353"/>
    <mergeCell ref="A358:C358"/>
    <mergeCell ref="A365:C365"/>
    <mergeCell ref="A366:C366"/>
    <mergeCell ref="A371:C371"/>
    <mergeCell ref="A311:C311"/>
    <mergeCell ref="A29:C29"/>
    <mergeCell ref="A58:C58"/>
    <mergeCell ref="A59:C59"/>
    <mergeCell ref="A120:C120"/>
    <mergeCell ref="A121:C121"/>
    <mergeCell ref="A125:C125"/>
    <mergeCell ref="A156:C156"/>
    <mergeCell ref="A158:C158"/>
    <mergeCell ref="A161:C161"/>
    <mergeCell ref="A387:C387"/>
    <mergeCell ref="A94:C94"/>
    <mergeCell ref="A102:C102"/>
    <mergeCell ref="A103:C103"/>
    <mergeCell ref="A108:C108"/>
    <mergeCell ref="A110:C110"/>
    <mergeCell ref="A112:C112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2025-03-19T09:10:41Z</cp:lastPrinted>
  <dcterms:created xsi:type="dcterms:W3CDTF">2022-08-12T12:51:27Z</dcterms:created>
  <dcterms:modified xsi:type="dcterms:W3CDTF">2025-03-20T12:07:54Z</dcterms:modified>
</cp:coreProperties>
</file>