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35" tabRatio="777" activeTab="3"/>
  </bookViews>
  <sheets>
    <sheet name="OPĆI DIO-2017" sheetId="1" r:id="rId1"/>
    <sheet name="FP PiP 1-2017" sheetId="2" r:id="rId2"/>
    <sheet name="FP PiP 2-2018-19" sheetId="3" r:id="rId3"/>
    <sheet name="FP Ril-2017-18-19" sheetId="4" r:id="rId4"/>
  </sheets>
  <definedNames>
    <definedName name="_xlnm.Print_Titles" localSheetId="3">'FP Ril-2017-18-19'!$4:$5</definedName>
    <definedName name="_xlnm.Print_Area" localSheetId="1">'FP PiP 1-2017'!$A$1:$I$37</definedName>
  </definedNames>
  <calcPr fullCalcOnLoad="1"/>
</workbook>
</file>

<file path=xl/sharedStrings.xml><?xml version="1.0" encoding="utf-8"?>
<sst xmlns="http://schemas.openxmlformats.org/spreadsheetml/2006/main" count="180" uniqueCount="134">
  <si>
    <t xml:space="preserve">Donacije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</si>
  <si>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</si>
  <si>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</si>
  <si>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</si>
  <si>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</si>
  <si>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</si>
  <si>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</si>
  <si>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</si>
  <si>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Donacije</t>
  </si>
  <si>
    <t xml:space="preserve"> Procjena 2005.</t>
  </si>
  <si>
    <t xml:space="preserve"> Procjena 2006.</t>
  </si>
  <si>
    <t>UKUPNO A/Tpr./Kpr.</t>
  </si>
  <si>
    <t>Sveukupno KP</t>
  </si>
  <si>
    <t>Obrazac JLP(R)S FP-PiP 1</t>
  </si>
  <si>
    <t>Obrazac JLP(R)S FP-PiP 2</t>
  </si>
  <si>
    <t>Obrazac JLP(R)S FP-RiI</t>
  </si>
  <si>
    <t>Oznaka rač.iz                                      računskog plana</t>
  </si>
  <si>
    <r>
      <t>prihoda i primitaka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</si>
  <si>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sz val="11"/>
        <rFont val="Arial"/>
        <family val="2"/>
      </rPr>
      <t xml:space="preserve">      </t>
    </r>
  </si>
  <si>
    <r>
      <t>prihoda i primitaka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</si>
  <si>
    <t>Račun 
rashoda/
izdatka</t>
  </si>
  <si>
    <t>6711-GRAD ZADAR</t>
  </si>
  <si>
    <t>6712-GRAD ZADAR</t>
  </si>
  <si>
    <t>6831-OSTALI PRIHODI</t>
  </si>
  <si>
    <t>(proračunski/izvanproračunski)       ZADAR, BRIBIRSKI PRILAZ 2.</t>
  </si>
  <si>
    <t xml:space="preserve">Korisnik proračuna              OSNOVNA ŠKOLA BARTULA KAŠIĆA </t>
  </si>
  <si>
    <t>RASHODI ZA ZAPOSLENE</t>
  </si>
  <si>
    <t>PLAĆE (BRUTO)</t>
  </si>
  <si>
    <t>Plaće za redovan rad</t>
  </si>
  <si>
    <t>Ostali rashodi za zaposlene</t>
  </si>
  <si>
    <t>Doprin.za zdrav.osiguranje</t>
  </si>
  <si>
    <t>Dopr.za obv.osig.u sl.nezap.</t>
  </si>
  <si>
    <t>MATERIJALNI RASHODI</t>
  </si>
  <si>
    <t>Službena putovanja</t>
  </si>
  <si>
    <t>Naknade za prijevoz</t>
  </si>
  <si>
    <t>Struč.usavršav.zaposlen.</t>
  </si>
  <si>
    <t>Ostale nakn.trošk.zaposl.</t>
  </si>
  <si>
    <t>Uredski mater.i ost.mat.rash.</t>
  </si>
  <si>
    <t>Energija</t>
  </si>
  <si>
    <t>Mat.i dij.za tek.i invest.održ.</t>
  </si>
  <si>
    <t>Sitni inventar i auto gume</t>
  </si>
  <si>
    <t>Služ.rad.i zašt.odj.i obuća</t>
  </si>
  <si>
    <t>Usluge telefona,pošte i prijev.</t>
  </si>
  <si>
    <t>Usl.tekuć.i invest.održavanja</t>
  </si>
  <si>
    <t>Usl.promidžbe i informir.</t>
  </si>
  <si>
    <t>Komunalne usluge</t>
  </si>
  <si>
    <t>Zakupnine i najamnine</t>
  </si>
  <si>
    <t>Zdravstvene usluge</t>
  </si>
  <si>
    <t>Intelektual.i osob.usluge</t>
  </si>
  <si>
    <t>Računalne usluge</t>
  </si>
  <si>
    <t>Ostale usluge</t>
  </si>
  <si>
    <t>Nakn.trošk,osob.izv.rad.odn.</t>
  </si>
  <si>
    <t>Nakn.članov.povjerenst.</t>
  </si>
  <si>
    <t>Premije osiguranja</t>
  </si>
  <si>
    <t>Reprezentacija</t>
  </si>
  <si>
    <t>Članarine</t>
  </si>
  <si>
    <t>Pristojbe i naknade</t>
  </si>
  <si>
    <t>Ostali nespom.rash.poslov.</t>
  </si>
  <si>
    <t>FINANCIJSKI RASHODI</t>
  </si>
  <si>
    <t>Bankar.usl.i usl.plat.prometa</t>
  </si>
  <si>
    <t>Zatezne kamate</t>
  </si>
  <si>
    <t>RASH.ZA NAB.DUGOT.IM.</t>
  </si>
  <si>
    <t>Uredska oprema i namještaj</t>
  </si>
  <si>
    <t>Dodat.ulag.na građev.objekt.</t>
  </si>
  <si>
    <t>2017.</t>
  </si>
  <si>
    <t>Knjige u knjižnici</t>
  </si>
  <si>
    <t>Uređaji, strojevi i oprema za ostale namjene</t>
  </si>
  <si>
    <t>6526-UPL.UČEN.ZA MARENDE PB</t>
  </si>
  <si>
    <t>Oprema za održavanje i zaštitu</t>
  </si>
  <si>
    <t>OPĆI DIO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</si>
  <si>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</si>
  <si>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</si>
  <si>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</si>
  <si>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</si>
  <si>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</si>
  <si>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</si>
  <si>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</si>
  <si>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</si>
  <si>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</si>
  <si>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</si>
  <si>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</si>
  <si>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</si>
  <si>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Prihodi od prodaje nefinancijjske imovine i naknade šteta s osnova osiguranja</t>
  </si>
  <si>
    <t>Namjenski primici od zaduživanja</t>
  </si>
  <si>
    <t>2018.</t>
  </si>
  <si>
    <t>Prihodi od prodaje nefinancijske imovine i nadoknade šteta s osnova osiguranja</t>
  </si>
  <si>
    <t>Prihodi od nefinancijske imovine i nadoknade šteta s osnova osiguranja</t>
  </si>
  <si>
    <t>PROJEKCIJA PLANA ZA
2018.</t>
  </si>
  <si>
    <t xml:space="preserve">6615-NAJAM </t>
  </si>
  <si>
    <t>Komunikacijska oprema</t>
  </si>
  <si>
    <t>Sportska i glazbena oprema</t>
  </si>
  <si>
    <t>DODATNA ULAGANJA</t>
  </si>
  <si>
    <t>6381- ERASMUS KA2+</t>
  </si>
  <si>
    <t>6413 - PRIPIS KAMATE</t>
  </si>
  <si>
    <t>6526-UPL.UČEN.ZA ŠTETE</t>
  </si>
  <si>
    <t>6614-VLASTITI PRIHODI UZ MARAŠKA</t>
  </si>
  <si>
    <t>6631-DRUŠTVO PED.TEH.KULTURE</t>
  </si>
  <si>
    <t>6631-HŠŠS NATJECANJA</t>
  </si>
  <si>
    <t>6415 - PRIHODI OD POZ.TEČ.RAZLIKA</t>
  </si>
  <si>
    <t>Negativne teč. razlike</t>
  </si>
  <si>
    <t>6341-HZZ stručno us. bez zasnivanja ro</t>
  </si>
  <si>
    <t>Projekcija plana
za 2018.</t>
  </si>
  <si>
    <t>Projekcija plana 
za 2019.</t>
  </si>
  <si>
    <t>Ukupno prihodi i primici za 2017.</t>
  </si>
  <si>
    <t>PLAN PRIHODA I PRIMITAKA 2018. i  2019.</t>
  </si>
  <si>
    <t>2019.</t>
  </si>
  <si>
    <t>Ukupno prihodi i primici za 2018. i 2019.</t>
  </si>
  <si>
    <t xml:space="preserve">Naziv </t>
  </si>
  <si>
    <t>PROJEKCIJA PLANA ZA
2019.</t>
  </si>
  <si>
    <t>RASHODI POSLOVANJA</t>
  </si>
  <si>
    <t>6361-MZOŠ - plaće, naknade</t>
  </si>
  <si>
    <t>6361-MZOŠ - projekti, mentorstva, ostalo</t>
  </si>
  <si>
    <t>6361-AGENC.ZA ODG.I OBRAZ.</t>
  </si>
  <si>
    <t>6361-ZD ŽUPANIJA NATJECANJA</t>
  </si>
  <si>
    <t>6526-ZAKLADA"HRV. ZA DJECU"</t>
  </si>
  <si>
    <t>6415 -PRIHODI OD POZ.TEČ.RAZLIKA</t>
  </si>
  <si>
    <t>Financijski plan
za 2017.</t>
  </si>
  <si>
    <t>PLAN 
ZA 2017.</t>
  </si>
  <si>
    <t>Opći prihodi i primici GRAD ZADAR</t>
  </si>
  <si>
    <t>Rezultat iz 2016.</t>
  </si>
  <si>
    <t>Dodat.ulag.na postr. i opremi</t>
  </si>
  <si>
    <t>REB BR.2 FINANCIJSKI PLAN 2017 - PLAN PRIHODA I PRIMITAKA</t>
  </si>
  <si>
    <t>REB. BR.2 FINANCIJSKI PLAN 2017. - PLAN RASHODA I IZDATAKA</t>
  </si>
  <si>
    <t xml:space="preserve">6381- PROJEKT "ZadarZaDar" </t>
  </si>
  <si>
    <t>6631-VODOVOD</t>
  </si>
  <si>
    <t>PRIJEDLOG REB.BR.2 FIN PLANA 2017.</t>
  </si>
  <si>
    <t>REB.BR.1 FIN PLANA 2017.</t>
  </si>
  <si>
    <t>Tek. pom. tem. prij. EU sred.</t>
  </si>
  <si>
    <t>POM. DANE U INOZ. I UNUTAR OPĆEG PRORAČUNA</t>
  </si>
  <si>
    <t>Tek. prij. između pror. korisnika istog proračuna tem. prij. EU sredstava</t>
  </si>
  <si>
    <t>6362 MZOS knjige za knjižnicu</t>
  </si>
  <si>
    <t>Prijedlog rebalansa br.2 financijskog plana za 2017.</t>
  </si>
  <si>
    <t>Rebalans br.1 financijskog plana za 2017.</t>
  </si>
  <si>
    <t>PRIJEDLOG REBALANSA BR.2 FINANCIJSKOG PLANA OŠ BARTULA KAŠIĆA  ZA 2017. I                                                                                                                                                PROJEKCIJA PLANA ZA  2018. I 2019. GODINU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</si>
</sst>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* #,##0.00_);_(* \(#,##0.00\);_(* &quot;-&quot;??_);_(@_)"/>
    <numFmt numFmtId="165" formatCode="#,##0.00\ &quot;kn&quot;"/>
    <numFmt numFmtId="166" formatCode="#,##0.00\ _k_n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[$€-2]\ #,##0.00_);[Red]\([$€-2]\ #,##0.00\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dotted"/>
    </border>
    <border>
      <left/>
      <right/>
      <top/>
      <bottom style="thin"/>
    </border>
    <border>
      <left/>
      <right/>
      <top style="hair">
        <color indexed="22"/>
      </top>
      <bottom style="hair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1" borderId="14" xfId="0" applyFont="1" applyFill="1" applyBorder="1" applyAlignment="1">
      <alignment horizontal="center"/>
    </xf>
    <xf numFmtId="0" fontId="6" fillId="1" borderId="15" xfId="0" applyFont="1" applyFill="1" applyBorder="1" applyAlignment="1">
      <alignment horizontal="right" vertical="center" wrapText="1"/>
    </xf>
    <xf numFmtId="0" fontId="6" fillId="1" borderId="16" xfId="0" applyFont="1" applyFill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Alignment="1">
      <alignment horizontal="right"/>
    </xf>
    <xf numFmtId="0" fontId="4" fillId="1" borderId="14" xfId="0" applyFont="1" applyFill="1" applyBorder="1" applyAlignment="1">
      <alignment horizontal="center"/>
    </xf>
    <xf numFmtId="0" fontId="4" fillId="1" borderId="15" xfId="0" applyFont="1" applyFill="1" applyBorder="1" applyAlignment="1">
      <alignment horizontal="right" vertical="center" wrapText="1"/>
    </xf>
    <xf numFmtId="0" fontId="4" fillId="1" borderId="16" xfId="0" applyFont="1" applyFill="1" applyBorder="1" applyAlignment="1">
      <alignment horizontal="left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Alignment="1" quotePrefix="1">
      <alignment/>
    </xf>
    <xf numFmtId="0" fontId="2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 quotePrefix="1">
      <alignment horizontal="left"/>
    </xf>
    <xf numFmtId="0" fontId="6" fillId="0" borderId="25" xfId="0" applyNumberFormat="1" applyFont="1" applyBorder="1" applyAlignment="1" quotePrefix="1">
      <alignment horizontal="left" vertic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26" xfId="0" applyNumberFormat="1" applyFont="1" applyBorder="1" applyAlignment="1">
      <alignment/>
    </xf>
    <xf numFmtId="3" fontId="7" fillId="0" borderId="26" xfId="0" applyNumberFormat="1" applyFont="1" applyBorder="1" applyAlignment="1">
      <alignment wrapText="1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wrapText="1"/>
    </xf>
    <xf numFmtId="3" fontId="11" fillId="0" borderId="0" xfId="0" applyNumberFormat="1" applyFont="1" applyFill="1" applyBorder="1" applyAlignment="1" quotePrefix="1">
      <alignment horizontal="left"/>
    </xf>
    <xf numFmtId="3" fontId="11" fillId="0" borderId="0" xfId="0" applyNumberFormat="1" applyFont="1" applyFill="1" applyBorder="1" applyAlignment="1" quotePrefix="1">
      <alignment horizontal="left" wrapText="1"/>
    </xf>
    <xf numFmtId="0" fontId="6" fillId="0" borderId="0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 wrapText="1"/>
    </xf>
    <xf numFmtId="0" fontId="6" fillId="0" borderId="20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 quotePrefix="1">
      <alignment horizontal="center" wrapText="1"/>
    </xf>
    <xf numFmtId="0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/>
    </xf>
    <xf numFmtId="0" fontId="7" fillId="0" borderId="28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0" fontId="7" fillId="0" borderId="28" xfId="0" applyNumberFormat="1" applyFont="1" applyBorder="1" applyAlignment="1">
      <alignment horizontal="left" vertical="center"/>
    </xf>
    <xf numFmtId="0" fontId="7" fillId="0" borderId="28" xfId="0" applyNumberFormat="1" applyFont="1" applyBorder="1" applyAlignment="1" quotePrefix="1">
      <alignment horizontal="left" vertical="center"/>
    </xf>
    <xf numFmtId="0" fontId="6" fillId="0" borderId="28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vertical="center"/>
    </xf>
    <xf numFmtId="0" fontId="6" fillId="0" borderId="28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25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vertical="center"/>
    </xf>
    <xf numFmtId="3" fontId="6" fillId="0" borderId="25" xfId="0" applyNumberFormat="1" applyFont="1" applyBorder="1" applyAlignment="1" quotePrefix="1">
      <alignment horizontal="center" vertical="center"/>
    </xf>
    <xf numFmtId="3" fontId="6" fillId="0" borderId="25" xfId="0" applyNumberFormat="1" applyFont="1" applyBorder="1" applyAlignment="1" quotePrefix="1">
      <alignment horizontal="left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3" fontId="6" fillId="0" borderId="25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6" fillId="0" borderId="28" xfId="0" applyNumberFormat="1" applyFont="1" applyBorder="1" applyAlignment="1">
      <alignment horizontal="left" vertical="center"/>
    </xf>
    <xf numFmtId="3" fontId="60" fillId="0" borderId="28" xfId="0" applyNumberFormat="1" applyFont="1" applyBorder="1" applyAlignment="1">
      <alignment vertical="center"/>
    </xf>
    <xf numFmtId="0" fontId="7" fillId="0" borderId="28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left"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right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24" xfId="0" applyNumberFormat="1" applyFont="1" applyBorder="1" applyAlignment="1">
      <alignment horizontal="right"/>
    </xf>
    <xf numFmtId="0" fontId="15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/>
      <protection/>
    </xf>
    <xf numFmtId="0" fontId="5" fillId="0" borderId="30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20" xfId="0" applyNumberFormat="1" applyBorder="1" applyAlignment="1">
      <alignment/>
    </xf>
    <xf numFmtId="3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31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7" fillId="0" borderId="25" xfId="0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0" fillId="0" borderId="3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3" xfId="0" applyFont="1" applyBorder="1" applyAlignment="1">
      <alignment/>
    </xf>
    <xf numFmtId="3" fontId="18" fillId="0" borderId="27" xfId="0" applyNumberFormat="1" applyFont="1" applyBorder="1" applyAlignment="1" quotePrefix="1">
      <alignment horizontal="left"/>
    </xf>
    <xf numFmtId="0" fontId="6" fillId="0" borderId="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 quotePrefix="1">
      <alignment horizontal="center" wrapText="1"/>
    </xf>
    <xf numFmtId="3" fontId="5" fillId="0" borderId="34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center" wrapText="1"/>
    </xf>
    <xf numFmtId="3" fontId="5" fillId="0" borderId="35" xfId="0" applyNumberFormat="1" applyFont="1" applyBorder="1" applyAlignment="1">
      <alignment horizontal="right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right" vertical="center" wrapText="1"/>
    </xf>
    <xf numFmtId="3" fontId="5" fillId="0" borderId="37" xfId="0" applyNumberFormat="1" applyFont="1" applyBorder="1" applyAlignment="1">
      <alignment horizontal="center" wrapText="1"/>
    </xf>
    <xf numFmtId="3" fontId="5" fillId="0" borderId="37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16" fillId="0" borderId="10" xfId="0" applyNumberFormat="1" applyFont="1" applyFill="1" applyBorder="1" applyAlignment="1" applyProtection="1">
      <alignment horizontal="center" wrapText="1"/>
      <protection/>
    </xf>
    <xf numFmtId="3" fontId="61" fillId="0" borderId="10" xfId="0" applyNumberFormat="1" applyFont="1" applyBorder="1" applyAlignment="1">
      <alignment horizontal="right"/>
    </xf>
    <xf numFmtId="3" fontId="61" fillId="0" borderId="10" xfId="0" applyNumberFormat="1" applyFont="1" applyBorder="1" applyAlignment="1">
      <alignment horizontal="right" vertical="center" wrapText="1"/>
    </xf>
    <xf numFmtId="3" fontId="61" fillId="0" borderId="37" xfId="0" applyNumberFormat="1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horizontal="left" wrapText="1"/>
      <protection/>
    </xf>
    <xf numFmtId="0" fontId="19" fillId="0" borderId="25" xfId="0" applyNumberFormat="1" applyFont="1" applyFill="1" applyBorder="1" applyAlignment="1" applyProtection="1">
      <alignment wrapText="1"/>
      <protection/>
    </xf>
    <xf numFmtId="0" fontId="19" fillId="0" borderId="25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wrapText="1"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 quotePrefix="1">
      <alignment horizontal="left" wrapText="1"/>
      <protection/>
    </xf>
    <xf numFmtId="0" fontId="0" fillId="0" borderId="25" xfId="0" applyNumberFormat="1" applyFont="1" applyFill="1" applyBorder="1" applyAlignment="1" applyProtection="1">
      <alignment wrapText="1"/>
      <protection/>
    </xf>
    <xf numFmtId="0" fontId="4" fillId="0" borderId="24" xfId="0" applyFont="1" applyBorder="1" applyAlignment="1" quotePrefix="1">
      <alignment horizontal="left"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24" xfId="0" applyFont="1" applyBorder="1" applyAlignment="1" quotePrefix="1">
      <alignment horizontal="center" wrapText="1"/>
    </xf>
    <xf numFmtId="0" fontId="16" fillId="0" borderId="25" xfId="0" applyFont="1" applyBorder="1" applyAlignment="1" quotePrefix="1">
      <alignment horizontal="center" wrapText="1"/>
    </xf>
    <xf numFmtId="0" fontId="16" fillId="0" borderId="20" xfId="0" applyFont="1" applyBorder="1" applyAlignment="1" quotePrefix="1">
      <alignment horizontal="center" wrapText="1"/>
    </xf>
    <xf numFmtId="0" fontId="16" fillId="0" borderId="25" xfId="0" applyFont="1" applyBorder="1" applyAlignment="1" quotePrefix="1">
      <alignment horizontal="center"/>
    </xf>
    <xf numFmtId="0" fontId="16" fillId="0" borderId="20" xfId="0" applyFont="1" applyBorder="1" applyAlignment="1" quotePrefix="1">
      <alignment horizontal="center"/>
    </xf>
    <xf numFmtId="0" fontId="12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6" fillId="0" borderId="24" xfId="0" applyNumberFormat="1" applyFont="1" applyFill="1" applyBorder="1" applyAlignment="1" applyProtection="1">
      <alignment horizontal="left" wrapText="1"/>
      <protection/>
    </xf>
    <xf numFmtId="0" fontId="14" fillId="0" borderId="25" xfId="0" applyNumberFormat="1" applyFont="1" applyFill="1" applyBorder="1" applyAlignment="1" applyProtection="1">
      <alignment wrapText="1"/>
      <protection/>
    </xf>
    <xf numFmtId="0" fontId="13" fillId="0" borderId="25" xfId="0" applyNumberFormat="1" applyFont="1" applyFill="1" applyBorder="1" applyAlignment="1" applyProtection="1">
      <alignment/>
      <protection/>
    </xf>
    <xf numFmtId="0" fontId="18" fillId="0" borderId="24" xfId="0" applyFont="1" applyBorder="1" applyAlignment="1">
      <alignment horizontal="left"/>
    </xf>
    <xf numFmtId="0" fontId="18" fillId="0" borderId="25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4" fillId="0" borderId="3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/>
    </xf>
    <xf numFmtId="0" fontId="6" fillId="33" borderId="39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0" fillId="0" borderId="43" xfId="0" applyBorder="1" applyAlignment="1">
      <alignment horizontal="center"/>
    </xf>
    <xf numFmtId="0" fontId="20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38100</xdr:rowOff>
    </xdr:from>
    <xdr:to>
      <xdr:col>0</xdr:col>
      <xdr:colOff>2171700</xdr:colOff>
      <xdr:row>8</xdr:row>
      <xdr:rowOff>352425</xdr:rowOff>
    </xdr:to>
    <xdr:sp>
      <xdr:nvSpPr>
        <xdr:cNvPr id="1" name="Line 1"/>
        <xdr:cNvSpPr>
          <a:spLocks/>
        </xdr:cNvSpPr>
      </xdr:nvSpPr>
      <xdr:spPr>
        <a:xfrm>
          <a:off x="0" y="809625"/>
          <a:ext cx="21717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2171700</xdr:colOff>
      <xdr:row>8</xdr:row>
      <xdr:rowOff>342900</xdr:rowOff>
    </xdr:to>
    <xdr:sp>
      <xdr:nvSpPr>
        <xdr:cNvPr id="2" name="Line 2"/>
        <xdr:cNvSpPr>
          <a:spLocks/>
        </xdr:cNvSpPr>
      </xdr:nvSpPr>
      <xdr:spPr>
        <a:xfrm>
          <a:off x="0" y="800100"/>
          <a:ext cx="21717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zoomScale="90" zoomScaleNormal="90" zoomScalePageLayoutView="0" workbookViewId="0" topLeftCell="A1">
      <selection activeCell="A2" sqref="A2:J2"/>
    </sheetView>
  </sheetViews>
  <sheetFormatPr defaultColWidth="9.140625" defaultRowHeight="12.75"/>
  <cols>
    <col min="5" max="5" width="31.28125" style="0" customWidth="1"/>
    <col min="6" max="8" width="24.7109375" style="0" customWidth="1"/>
    <col min="9" max="9" width="26.00390625" style="0" customWidth="1"/>
    <col min="10" max="10" width="33.7109375" style="0" customWidth="1"/>
  </cols>
  <sheetData>
    <row r="1" spans="1:10" s="79" customFormat="1" ht="69" customHeight="1">
      <c r="A1" s="135" t="s">
        <v>133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s="80" customFormat="1" ht="51.75" customHeight="1">
      <c r="A2" s="135" t="s">
        <v>69</v>
      </c>
      <c r="B2" s="135"/>
      <c r="C2" s="135"/>
      <c r="D2" s="135"/>
      <c r="E2" s="135"/>
      <c r="F2" s="135"/>
      <c r="G2" s="135"/>
      <c r="H2" s="135"/>
      <c r="I2" s="136"/>
      <c r="J2" s="136"/>
    </row>
    <row r="3" spans="1:10" s="79" customFormat="1" ht="24.75" customHeight="1">
      <c r="A3" s="135"/>
      <c r="B3" s="135"/>
      <c r="C3" s="135"/>
      <c r="D3" s="135"/>
      <c r="E3" s="135"/>
      <c r="F3" s="135"/>
      <c r="G3" s="135"/>
      <c r="H3" s="135"/>
      <c r="I3" s="135"/>
      <c r="J3" s="137"/>
    </row>
    <row r="4" spans="1:5" s="79" customFormat="1" ht="14.25" customHeight="1">
      <c r="A4" s="81"/>
      <c r="B4" s="82"/>
      <c r="C4" s="82"/>
      <c r="D4" s="82"/>
      <c r="E4" s="82"/>
    </row>
    <row r="5" spans="1:11" s="79" customFormat="1" ht="49.5" customHeight="1">
      <c r="A5" s="148"/>
      <c r="B5" s="149"/>
      <c r="C5" s="149"/>
      <c r="D5" s="149"/>
      <c r="E5" s="150"/>
      <c r="F5" s="106" t="s">
        <v>116</v>
      </c>
      <c r="G5" s="106" t="s">
        <v>132</v>
      </c>
      <c r="H5" s="106" t="s">
        <v>131</v>
      </c>
      <c r="I5" s="106" t="s">
        <v>101</v>
      </c>
      <c r="J5" s="83" t="s">
        <v>102</v>
      </c>
      <c r="K5" s="84"/>
    </row>
    <row r="6" spans="1:11" s="79" customFormat="1" ht="44.25" customHeight="1">
      <c r="A6" s="138" t="s">
        <v>70</v>
      </c>
      <c r="B6" s="139"/>
      <c r="C6" s="139"/>
      <c r="D6" s="139"/>
      <c r="E6" s="140"/>
      <c r="F6" s="131">
        <f>F7+F8</f>
        <v>13570071</v>
      </c>
      <c r="G6" s="131">
        <f>G7+G8</f>
        <v>14190941</v>
      </c>
      <c r="H6" s="131">
        <f>H7+H8</f>
        <v>14654692</v>
      </c>
      <c r="I6" s="131">
        <f>I7+I8</f>
        <v>13120671</v>
      </c>
      <c r="J6" s="131">
        <f>J7+J8</f>
        <v>13120671</v>
      </c>
      <c r="K6" s="85"/>
    </row>
    <row r="7" spans="1:10" s="79" customFormat="1" ht="38.25" customHeight="1">
      <c r="A7" s="141" t="s">
        <v>71</v>
      </c>
      <c r="B7" s="142"/>
      <c r="C7" s="142"/>
      <c r="D7" s="142"/>
      <c r="E7" s="143"/>
      <c r="F7" s="101">
        <v>13570071</v>
      </c>
      <c r="G7" s="101">
        <v>14190941</v>
      </c>
      <c r="H7" s="101">
        <v>14654692</v>
      </c>
      <c r="I7" s="101">
        <v>13120671</v>
      </c>
      <c r="J7" s="101">
        <v>13120671</v>
      </c>
    </row>
    <row r="8" spans="1:10" s="79" customFormat="1" ht="37.5" customHeight="1">
      <c r="A8" s="146" t="s">
        <v>72</v>
      </c>
      <c r="B8" s="143"/>
      <c r="C8" s="143"/>
      <c r="D8" s="143"/>
      <c r="E8" s="143"/>
      <c r="F8" s="86"/>
      <c r="G8" s="86"/>
      <c r="H8" s="86"/>
      <c r="I8" s="86"/>
      <c r="J8" s="86"/>
    </row>
    <row r="9" spans="1:10" s="79" customFormat="1" ht="36" customHeight="1">
      <c r="A9" s="157" t="s">
        <v>73</v>
      </c>
      <c r="B9" s="158"/>
      <c r="C9" s="158"/>
      <c r="D9" s="158"/>
      <c r="E9" s="159"/>
      <c r="F9" s="131">
        <f>F10+F11</f>
        <v>13570071</v>
      </c>
      <c r="G9" s="131">
        <f>G10+G11</f>
        <v>14112365</v>
      </c>
      <c r="H9" s="131">
        <f>H10+H11</f>
        <v>14576116</v>
      </c>
      <c r="I9" s="131">
        <f>I10+I11</f>
        <v>13120671</v>
      </c>
      <c r="J9" s="131">
        <f>J10+J11</f>
        <v>13120671</v>
      </c>
    </row>
    <row r="10" spans="1:10" s="79" customFormat="1" ht="34.5" customHeight="1">
      <c r="A10" s="144" t="s">
        <v>74</v>
      </c>
      <c r="B10" s="142"/>
      <c r="C10" s="142"/>
      <c r="D10" s="142"/>
      <c r="E10" s="145"/>
      <c r="F10" s="101">
        <v>13066071</v>
      </c>
      <c r="G10" s="101">
        <f>11400322+2192641+10980</f>
        <v>13603943</v>
      </c>
      <c r="H10" s="101">
        <v>14040341</v>
      </c>
      <c r="I10" s="101">
        <v>12616671</v>
      </c>
      <c r="J10" s="101">
        <v>12616671</v>
      </c>
    </row>
    <row r="11" spans="1:10" s="79" customFormat="1" ht="34.5" customHeight="1">
      <c r="A11" s="146" t="s">
        <v>75</v>
      </c>
      <c r="B11" s="143"/>
      <c r="C11" s="143"/>
      <c r="D11" s="143"/>
      <c r="E11" s="143"/>
      <c r="F11" s="101">
        <v>504000</v>
      </c>
      <c r="G11" s="101">
        <f>106000+402422</f>
        <v>508422</v>
      </c>
      <c r="H11" s="101">
        <v>535775</v>
      </c>
      <c r="I11" s="101">
        <v>504000</v>
      </c>
      <c r="J11" s="101">
        <v>504000</v>
      </c>
    </row>
    <row r="12" spans="1:10" s="79" customFormat="1" ht="35.25" customHeight="1">
      <c r="A12" s="144" t="s">
        <v>76</v>
      </c>
      <c r="B12" s="142"/>
      <c r="C12" s="142"/>
      <c r="D12" s="142"/>
      <c r="E12" s="142"/>
      <c r="F12" s="87">
        <f>+F6-F9</f>
        <v>0</v>
      </c>
      <c r="G12" s="87">
        <f>+G6-G9</f>
        <v>78576</v>
      </c>
      <c r="H12" s="87">
        <f>+H6-H9</f>
        <v>78576</v>
      </c>
      <c r="I12" s="87">
        <f>+I6-I9</f>
        <v>0</v>
      </c>
      <c r="J12" s="87">
        <f>+J6-J9</f>
        <v>0</v>
      </c>
    </row>
    <row r="13" spans="1:10" s="79" customFormat="1" ht="39.75" customHeight="1">
      <c r="A13" s="135"/>
      <c r="B13" s="147"/>
      <c r="C13" s="147"/>
      <c r="D13" s="147"/>
      <c r="E13" s="147"/>
      <c r="F13" s="137"/>
      <c r="G13" s="137"/>
      <c r="H13" s="137"/>
      <c r="I13" s="137"/>
      <c r="J13" s="137"/>
    </row>
    <row r="14" spans="1:10" s="79" customFormat="1" ht="45" customHeight="1">
      <c r="A14" s="148"/>
      <c r="B14" s="149"/>
      <c r="C14" s="149"/>
      <c r="D14" s="149"/>
      <c r="E14" s="150"/>
      <c r="F14" s="106" t="s">
        <v>116</v>
      </c>
      <c r="G14" s="106" t="s">
        <v>132</v>
      </c>
      <c r="H14" s="106" t="s">
        <v>131</v>
      </c>
      <c r="I14" s="106" t="s">
        <v>101</v>
      </c>
      <c r="J14" s="83" t="s">
        <v>102</v>
      </c>
    </row>
    <row r="15" spans="1:10" s="79" customFormat="1" ht="36.75" customHeight="1">
      <c r="A15" s="154" t="s">
        <v>77</v>
      </c>
      <c r="B15" s="155"/>
      <c r="C15" s="155"/>
      <c r="D15" s="155"/>
      <c r="E15" s="156"/>
      <c r="F15" s="88"/>
      <c r="G15" s="88">
        <v>-78576.13</v>
      </c>
      <c r="H15" s="88">
        <v>-78576.13</v>
      </c>
      <c r="I15" s="88"/>
      <c r="J15" s="87"/>
    </row>
    <row r="16" spans="1:10" s="89" customFormat="1" ht="45.75" customHeight="1">
      <c r="A16" s="153"/>
      <c r="B16" s="147"/>
      <c r="C16" s="147"/>
      <c r="D16" s="147"/>
      <c r="E16" s="147"/>
      <c r="F16" s="137"/>
      <c r="G16" s="137"/>
      <c r="H16" s="137"/>
      <c r="I16" s="137"/>
      <c r="J16" s="137"/>
    </row>
    <row r="17" spans="1:10" s="89" customFormat="1" ht="47.25" customHeight="1">
      <c r="A17" s="148"/>
      <c r="B17" s="149"/>
      <c r="C17" s="149"/>
      <c r="D17" s="149"/>
      <c r="E17" s="150"/>
      <c r="F17" s="106" t="s">
        <v>116</v>
      </c>
      <c r="G17" s="106" t="s">
        <v>132</v>
      </c>
      <c r="H17" s="106" t="s">
        <v>131</v>
      </c>
      <c r="I17" s="106" t="s">
        <v>101</v>
      </c>
      <c r="J17" s="83" t="s">
        <v>102</v>
      </c>
    </row>
    <row r="18" spans="1:10" s="89" customFormat="1" ht="30" customHeight="1">
      <c r="A18" s="141" t="s">
        <v>78</v>
      </c>
      <c r="B18" s="142"/>
      <c r="C18" s="142"/>
      <c r="D18" s="142"/>
      <c r="E18" s="142"/>
      <c r="F18" s="86"/>
      <c r="G18" s="86"/>
      <c r="H18" s="86"/>
      <c r="I18" s="86"/>
      <c r="J18" s="86"/>
    </row>
    <row r="19" spans="1:10" s="89" customFormat="1" ht="30" customHeight="1">
      <c r="A19" s="141" t="s">
        <v>79</v>
      </c>
      <c r="B19" s="142"/>
      <c r="C19" s="142"/>
      <c r="D19" s="142"/>
      <c r="E19" s="142"/>
      <c r="F19" s="86"/>
      <c r="G19" s="86"/>
      <c r="H19" s="86"/>
      <c r="I19" s="86"/>
      <c r="J19" s="86"/>
    </row>
    <row r="20" spans="1:10" s="89" customFormat="1" ht="30" customHeight="1">
      <c r="A20" s="144" t="s">
        <v>80</v>
      </c>
      <c r="B20" s="142"/>
      <c r="C20" s="142"/>
      <c r="D20" s="142"/>
      <c r="E20" s="142"/>
      <c r="F20" s="86"/>
      <c r="G20" s="86"/>
      <c r="H20" s="86"/>
      <c r="I20" s="86"/>
      <c r="J20" s="86"/>
    </row>
    <row r="21" spans="1:10" s="89" customFormat="1" ht="32.25" customHeight="1">
      <c r="A21" s="151"/>
      <c r="B21" s="151"/>
      <c r="C21" s="151"/>
      <c r="D21" s="151"/>
      <c r="E21" s="152"/>
      <c r="F21" s="90"/>
      <c r="G21" s="90"/>
      <c r="H21" s="90"/>
      <c r="I21" s="90"/>
      <c r="J21" s="90"/>
    </row>
    <row r="22" spans="1:10" s="89" customFormat="1" ht="41.25" customHeight="1">
      <c r="A22" s="144" t="s">
        <v>81</v>
      </c>
      <c r="B22" s="142"/>
      <c r="C22" s="142"/>
      <c r="D22" s="142"/>
      <c r="E22" s="142"/>
      <c r="F22" s="86">
        <f>SUM(F12,F15,F20)</f>
        <v>0</v>
      </c>
      <c r="G22" s="86">
        <f>SUM(G12,G15,G20)</f>
        <v>-0.1300000000046566</v>
      </c>
      <c r="H22" s="86">
        <f>SUM(H12,H15,H20)</f>
        <v>-0.1300000000046566</v>
      </c>
      <c r="I22" s="86">
        <f>SUM(I12,I15,I20)</f>
        <v>0</v>
      </c>
      <c r="J22" s="86">
        <f>SUM(J12,J15,J20)</f>
        <v>0</v>
      </c>
    </row>
  </sheetData>
  <sheetProtection/>
  <mergeCells count="21">
    <mergeCell ref="A14:E14"/>
    <mergeCell ref="A5:E5"/>
    <mergeCell ref="A21:E21"/>
    <mergeCell ref="A18:E18"/>
    <mergeCell ref="A19:E19"/>
    <mergeCell ref="A20:E20"/>
    <mergeCell ref="A17:E17"/>
    <mergeCell ref="A8:E8"/>
    <mergeCell ref="A16:J16"/>
    <mergeCell ref="A15:E15"/>
    <mergeCell ref="A9:E9"/>
    <mergeCell ref="A1:J1"/>
    <mergeCell ref="A2:J2"/>
    <mergeCell ref="A3:J3"/>
    <mergeCell ref="A6:E6"/>
    <mergeCell ref="A7:E7"/>
    <mergeCell ref="A22:E22"/>
    <mergeCell ref="A10:E10"/>
    <mergeCell ref="A11:E11"/>
    <mergeCell ref="A12:E12"/>
    <mergeCell ref="A13:J13"/>
  </mergeCells>
  <printOptions/>
  <pageMargins left="0.7086614173228347" right="0.7086614173228347" top="0.7480314960629921" bottom="0.7480314960629921" header="0.31496062992125984" footer="0.3149606299212598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="80" zoomScaleNormal="80" zoomScalePageLayoutView="0" workbookViewId="0" topLeftCell="A16">
      <selection activeCell="A17" sqref="A17"/>
    </sheetView>
  </sheetViews>
  <sheetFormatPr defaultColWidth="9.140625" defaultRowHeight="12.75"/>
  <cols>
    <col min="1" max="1" width="40.57421875" style="0" customWidth="1"/>
    <col min="2" max="2" width="25.2812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32" t="s">
        <v>13</v>
      </c>
    </row>
    <row r="3" spans="1:8" s="6" customFormat="1" ht="20.25">
      <c r="A3" s="160" t="s">
        <v>121</v>
      </c>
      <c r="B3" s="160"/>
      <c r="C3" s="160"/>
      <c r="D3" s="160"/>
      <c r="E3" s="160"/>
      <c r="F3" s="160"/>
      <c r="G3" s="160"/>
      <c r="H3" s="160"/>
    </row>
    <row r="4" spans="1:9" s="6" customFormat="1" ht="15.75" customHeight="1">
      <c r="A4" s="161"/>
      <c r="B4" s="162"/>
      <c r="C4" s="162"/>
      <c r="D4" s="162"/>
      <c r="E4" s="162"/>
      <c r="F4" s="162"/>
      <c r="G4" s="162"/>
      <c r="H4" s="162"/>
      <c r="I4" s="7"/>
    </row>
    <row r="5" s="6" customFormat="1" ht="15" hidden="1"/>
    <row r="6" s="6" customFormat="1" ht="15.75" thickBot="1">
      <c r="H6" s="17" t="s">
        <v>1</v>
      </c>
    </row>
    <row r="7" spans="1:8" s="6" customFormat="1" ht="16.5" thickBot="1">
      <c r="A7" s="18" t="s">
        <v>3</v>
      </c>
      <c r="B7" s="163" t="s">
        <v>64</v>
      </c>
      <c r="C7" s="164"/>
      <c r="D7" s="164"/>
      <c r="E7" s="164"/>
      <c r="F7" s="164"/>
      <c r="G7" s="164"/>
      <c r="H7" s="165"/>
    </row>
    <row r="8" spans="1:8" s="6" customFormat="1" ht="15.75" customHeight="1">
      <c r="A8" s="19" t="s">
        <v>17</v>
      </c>
      <c r="B8" s="166" t="s">
        <v>4</v>
      </c>
      <c r="C8" s="168" t="s">
        <v>5</v>
      </c>
      <c r="D8" s="168" t="s">
        <v>6</v>
      </c>
      <c r="E8" s="170" t="s">
        <v>7</v>
      </c>
      <c r="F8" s="170" t="s">
        <v>0</v>
      </c>
      <c r="G8" s="172" t="s">
        <v>82</v>
      </c>
      <c r="H8" s="174" t="s">
        <v>83</v>
      </c>
    </row>
    <row r="9" spans="1:8" s="6" customFormat="1" ht="60.75" customHeight="1" thickBot="1">
      <c r="A9" s="20" t="s">
        <v>16</v>
      </c>
      <c r="B9" s="167"/>
      <c r="C9" s="169"/>
      <c r="D9" s="169"/>
      <c r="E9" s="171"/>
      <c r="F9" s="171"/>
      <c r="G9" s="173"/>
      <c r="H9" s="175"/>
    </row>
    <row r="10" spans="1:8" s="6" customFormat="1" ht="30" customHeight="1">
      <c r="A10" s="102" t="s">
        <v>100</v>
      </c>
      <c r="B10" s="119"/>
      <c r="C10" s="120"/>
      <c r="D10" s="120"/>
      <c r="E10" s="121">
        <v>30000</v>
      </c>
      <c r="F10" s="122"/>
      <c r="G10" s="123"/>
      <c r="H10" s="21"/>
    </row>
    <row r="11" spans="1:8" s="6" customFormat="1" ht="30" customHeight="1">
      <c r="A11" s="104" t="s">
        <v>110</v>
      </c>
      <c r="B11" s="124"/>
      <c r="C11" s="125"/>
      <c r="D11" s="125"/>
      <c r="E11" s="133">
        <f>8998393.56+89337.69+28000+11372.92+25970.63+112500+14206.96+9978+1394752.08+152972.88+218513.76+30373.2</f>
        <v>11086371.680000002</v>
      </c>
      <c r="F11" s="126"/>
      <c r="G11" s="127"/>
      <c r="H11" s="91"/>
    </row>
    <row r="12" spans="1:8" s="6" customFormat="1" ht="30" customHeight="1">
      <c r="A12" s="103" t="s">
        <v>111</v>
      </c>
      <c r="B12" s="124"/>
      <c r="C12" s="125"/>
      <c r="D12" s="125"/>
      <c r="E12" s="134">
        <f>10000+2000+312+10000+4500+2000+7600</f>
        <v>36412</v>
      </c>
      <c r="F12" s="126"/>
      <c r="G12" s="127"/>
      <c r="H12" s="91"/>
    </row>
    <row r="13" spans="1:8" s="6" customFormat="1" ht="30" customHeight="1">
      <c r="A13" s="103" t="s">
        <v>130</v>
      </c>
      <c r="B13" s="124"/>
      <c r="C13" s="125"/>
      <c r="D13" s="125"/>
      <c r="E13" s="134">
        <v>15000</v>
      </c>
      <c r="F13" s="126"/>
      <c r="G13" s="127"/>
      <c r="H13" s="91"/>
    </row>
    <row r="14" spans="1:8" s="6" customFormat="1" ht="30" customHeight="1">
      <c r="A14" s="22" t="s">
        <v>112</v>
      </c>
      <c r="B14" s="128"/>
      <c r="C14" s="129"/>
      <c r="D14" s="129"/>
      <c r="E14" s="129">
        <v>3000</v>
      </c>
      <c r="F14" s="129"/>
      <c r="G14" s="130"/>
      <c r="H14" s="23"/>
    </row>
    <row r="15" spans="1:8" s="6" customFormat="1" ht="30" customHeight="1">
      <c r="A15" s="22" t="s">
        <v>113</v>
      </c>
      <c r="B15" s="128"/>
      <c r="C15" s="129"/>
      <c r="D15" s="129"/>
      <c r="E15" s="129">
        <v>8295.72</v>
      </c>
      <c r="F15" s="129"/>
      <c r="G15" s="130"/>
      <c r="H15" s="23"/>
    </row>
    <row r="16" spans="1:8" s="6" customFormat="1" ht="30" customHeight="1">
      <c r="A16" s="22" t="s">
        <v>92</v>
      </c>
      <c r="B16" s="128"/>
      <c r="C16" s="129"/>
      <c r="D16" s="129"/>
      <c r="E16" s="129">
        <v>89166.62</v>
      </c>
      <c r="F16" s="129"/>
      <c r="G16" s="130"/>
      <c r="H16" s="23"/>
    </row>
    <row r="17" spans="1:8" s="6" customFormat="1" ht="30" customHeight="1">
      <c r="A17" s="22" t="s">
        <v>123</v>
      </c>
      <c r="B17" s="128"/>
      <c r="C17" s="129"/>
      <c r="D17" s="129"/>
      <c r="E17" s="129">
        <v>429912.55</v>
      </c>
      <c r="F17" s="129"/>
      <c r="G17" s="130"/>
      <c r="H17" s="23"/>
    </row>
    <row r="18" spans="1:8" s="6" customFormat="1" ht="30" customHeight="1">
      <c r="A18" s="22" t="s">
        <v>93</v>
      </c>
      <c r="B18" s="128"/>
      <c r="C18" s="129">
        <v>200</v>
      </c>
      <c r="D18" s="129"/>
      <c r="E18" s="129"/>
      <c r="F18" s="129"/>
      <c r="G18" s="130"/>
      <c r="H18" s="23"/>
    </row>
    <row r="19" spans="1:8" s="6" customFormat="1" ht="30" customHeight="1">
      <c r="A19" s="78" t="s">
        <v>115</v>
      </c>
      <c r="B19" s="128"/>
      <c r="C19" s="129">
        <v>3000</v>
      </c>
      <c r="D19" s="129"/>
      <c r="E19" s="129"/>
      <c r="F19" s="129"/>
      <c r="G19" s="130"/>
      <c r="H19" s="23"/>
    </row>
    <row r="20" spans="1:8" s="6" customFormat="1" ht="30" customHeight="1">
      <c r="A20" s="78" t="s">
        <v>67</v>
      </c>
      <c r="B20" s="128"/>
      <c r="C20" s="129"/>
      <c r="D20" s="129">
        <v>250000</v>
      </c>
      <c r="E20" s="129"/>
      <c r="F20" s="129"/>
      <c r="G20" s="130"/>
      <c r="H20" s="23"/>
    </row>
    <row r="21" spans="1:8" s="6" customFormat="1" ht="30" customHeight="1">
      <c r="A21" s="22" t="s">
        <v>94</v>
      </c>
      <c r="B21" s="128"/>
      <c r="C21" s="129"/>
      <c r="D21" s="129">
        <v>3000</v>
      </c>
      <c r="E21" s="129"/>
      <c r="F21" s="129"/>
      <c r="G21" s="130"/>
      <c r="H21" s="23"/>
    </row>
    <row r="22" spans="1:8" s="6" customFormat="1" ht="30" customHeight="1">
      <c r="A22" s="22" t="s">
        <v>114</v>
      </c>
      <c r="B22" s="128"/>
      <c r="C22" s="129"/>
      <c r="D22" s="129">
        <v>250000</v>
      </c>
      <c r="E22" s="129"/>
      <c r="F22" s="129"/>
      <c r="G22" s="130"/>
      <c r="H22" s="23"/>
    </row>
    <row r="23" spans="1:8" s="6" customFormat="1" ht="30" customHeight="1">
      <c r="A23" s="22" t="s">
        <v>95</v>
      </c>
      <c r="B23" s="128"/>
      <c r="C23" s="129">
        <v>9000</v>
      </c>
      <c r="D23" s="129"/>
      <c r="E23" s="129"/>
      <c r="F23" s="129"/>
      <c r="G23" s="130"/>
      <c r="H23" s="23"/>
    </row>
    <row r="24" spans="1:8" s="6" customFormat="1" ht="30" customHeight="1">
      <c r="A24" s="22" t="s">
        <v>88</v>
      </c>
      <c r="B24" s="128"/>
      <c r="C24" s="129">
        <v>57500</v>
      </c>
      <c r="D24" s="129"/>
      <c r="E24" s="129"/>
      <c r="F24" s="129"/>
      <c r="G24" s="130"/>
      <c r="H24" s="23"/>
    </row>
    <row r="25" spans="1:8" s="6" customFormat="1" ht="30" customHeight="1">
      <c r="A25" s="22" t="s">
        <v>96</v>
      </c>
      <c r="B25" s="128"/>
      <c r="C25" s="129"/>
      <c r="D25" s="129"/>
      <c r="E25" s="129"/>
      <c r="F25" s="129">
        <v>200</v>
      </c>
      <c r="G25" s="130"/>
      <c r="H25" s="23"/>
    </row>
    <row r="26" spans="1:8" s="6" customFormat="1" ht="30" customHeight="1">
      <c r="A26" s="22" t="s">
        <v>124</v>
      </c>
      <c r="B26" s="128"/>
      <c r="C26" s="129"/>
      <c r="D26" s="129"/>
      <c r="E26" s="129"/>
      <c r="F26" s="129">
        <v>5000</v>
      </c>
      <c r="G26" s="130"/>
      <c r="H26" s="23"/>
    </row>
    <row r="27" spans="1:8" s="6" customFormat="1" ht="30" customHeight="1">
      <c r="A27" s="22" t="s">
        <v>97</v>
      </c>
      <c r="B27" s="128"/>
      <c r="C27" s="129"/>
      <c r="D27" s="129"/>
      <c r="E27" s="129"/>
      <c r="F27" s="129">
        <v>500</v>
      </c>
      <c r="G27" s="130"/>
      <c r="H27" s="23"/>
    </row>
    <row r="28" spans="1:8" s="6" customFormat="1" ht="30" customHeight="1">
      <c r="A28" s="22" t="s">
        <v>21</v>
      </c>
      <c r="B28" s="132">
        <f>346528.95+197044.34+39958.08+7500+10000+51334.3+6193.5+1500+5630.3+679.26+4000+1125+25000+525800+7500+350000+10000+1500+142000+13000+3000+62000+15844+990+5625.2+358.57+195.97+16320.02+8046.08+7661.86+2571.68+52709.4+5358.27+336.56+1535.12+932.54+250.13+7029.78+5100+1556.17+168+13680+1053.8+604.77+278.66+133.69</f>
        <v>1959634</v>
      </c>
      <c r="C28" s="129"/>
      <c r="D28" s="129"/>
      <c r="E28" s="129"/>
      <c r="F28" s="129"/>
      <c r="G28" s="130"/>
      <c r="H28" s="23"/>
    </row>
    <row r="29" spans="1:8" s="6" customFormat="1" ht="30" customHeight="1">
      <c r="A29" s="22" t="s">
        <v>22</v>
      </c>
      <c r="B29" s="132">
        <f>62000+284850+65150+5000</f>
        <v>417000</v>
      </c>
      <c r="C29" s="129"/>
      <c r="D29" s="129"/>
      <c r="E29" s="129"/>
      <c r="F29" s="129"/>
      <c r="G29" s="130"/>
      <c r="H29" s="23"/>
    </row>
    <row r="30" spans="1:8" s="6" customFormat="1" ht="30" customHeight="1">
      <c r="A30" s="22" t="s">
        <v>23</v>
      </c>
      <c r="B30" s="128"/>
      <c r="C30" s="129">
        <v>1500</v>
      </c>
      <c r="D30" s="129"/>
      <c r="E30" s="129"/>
      <c r="F30" s="129"/>
      <c r="G30" s="130"/>
      <c r="H30" s="23"/>
    </row>
    <row r="31" spans="1:8" s="6" customFormat="1" ht="30" customHeight="1" thickBot="1">
      <c r="A31" s="24"/>
      <c r="B31" s="25"/>
      <c r="C31" s="25"/>
      <c r="D31" s="25"/>
      <c r="E31" s="25"/>
      <c r="F31" s="25"/>
      <c r="G31" s="28"/>
      <c r="H31" s="26"/>
    </row>
    <row r="32" spans="1:8" s="6" customFormat="1" ht="30" customHeight="1" thickBot="1">
      <c r="A32" s="27" t="s">
        <v>2</v>
      </c>
      <c r="B32" s="73">
        <f aca="true" t="shared" si="0" ref="B32:H32">SUM(B10:B31)</f>
        <v>2376634</v>
      </c>
      <c r="C32" s="73">
        <f t="shared" si="0"/>
        <v>71200</v>
      </c>
      <c r="D32" s="73">
        <f t="shared" si="0"/>
        <v>503000</v>
      </c>
      <c r="E32" s="73">
        <f t="shared" si="0"/>
        <v>11698158.570000002</v>
      </c>
      <c r="F32" s="73">
        <f t="shared" si="0"/>
        <v>5700</v>
      </c>
      <c r="G32" s="73">
        <f t="shared" si="0"/>
        <v>0</v>
      </c>
      <c r="H32" s="73">
        <f t="shared" si="0"/>
        <v>0</v>
      </c>
    </row>
    <row r="33" spans="1:8" s="6" customFormat="1" ht="30" customHeight="1" thickBot="1">
      <c r="A33" s="27" t="s">
        <v>103</v>
      </c>
      <c r="B33" s="176">
        <v>14654692</v>
      </c>
      <c r="C33" s="177"/>
      <c r="D33" s="177"/>
      <c r="E33" s="177"/>
      <c r="F33" s="177"/>
      <c r="G33" s="177"/>
      <c r="H33" s="178"/>
    </row>
    <row r="34" s="6" customFormat="1" ht="15"/>
    <row r="35" spans="1:15" s="6" customFormat="1" ht="15.75">
      <c r="A35" s="5"/>
      <c r="H35" s="33"/>
      <c r="I35" s="33"/>
      <c r="J35"/>
      <c r="K35"/>
      <c r="L35"/>
      <c r="M35"/>
      <c r="N35"/>
      <c r="O35"/>
    </row>
    <row r="36" spans="1:15" s="6" customFormat="1" ht="15">
      <c r="A36" s="31"/>
      <c r="I36"/>
      <c r="J36"/>
      <c r="K36"/>
      <c r="L36"/>
      <c r="M36"/>
      <c r="N36"/>
      <c r="O36"/>
    </row>
    <row r="37" spans="1:15" s="6" customFormat="1" ht="34.5" customHeight="1">
      <c r="A37" s="179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</row>
    <row r="38" spans="1:15" s="6" customFormat="1" ht="15">
      <c r="A38" s="31"/>
      <c r="I38"/>
      <c r="J38"/>
      <c r="K38"/>
      <c r="L38"/>
      <c r="M38"/>
      <c r="N38"/>
      <c r="O38"/>
    </row>
    <row r="39" s="6" customFormat="1" ht="15"/>
    <row r="40" s="6" customFormat="1" ht="15"/>
    <row r="41" s="6" customFormat="1" ht="15"/>
    <row r="42" s="6" customFormat="1" ht="15"/>
    <row r="43" s="6" customFormat="1" ht="15"/>
    <row r="44" s="6" customFormat="1" ht="15"/>
    <row r="45" s="6" customFormat="1" ht="15"/>
    <row r="46" s="6" customFormat="1" ht="15"/>
    <row r="47" s="6" customFormat="1" ht="15"/>
    <row r="48" s="6" customFormat="1" ht="15"/>
    <row r="49" s="6" customFormat="1" ht="15"/>
    <row r="50" s="6" customFormat="1" ht="15"/>
    <row r="51" s="6" customFormat="1" ht="15"/>
    <row r="52" s="6" customFormat="1" ht="15"/>
    <row r="53" s="6" customFormat="1" ht="15"/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"/>
    <row r="71" s="6" customFormat="1" ht="15"/>
    <row r="72" s="6" customFormat="1" ht="15"/>
    <row r="73" s="6" customFormat="1" ht="15"/>
    <row r="74" s="6" customFormat="1" ht="15"/>
    <row r="75" s="6" customFormat="1" ht="15"/>
    <row r="76" s="6" customFormat="1" ht="15"/>
    <row r="77" s="6" customFormat="1" ht="15"/>
    <row r="78" s="6" customFormat="1" ht="15"/>
    <row r="79" s="6" customFormat="1" ht="15"/>
    <row r="80" s="6" customFormat="1" ht="15"/>
    <row r="81" s="6" customFormat="1" ht="15"/>
    <row r="82" s="6" customFormat="1" ht="15"/>
  </sheetData>
  <sheetProtection/>
  <mergeCells count="12">
    <mergeCell ref="B33:H33"/>
    <mergeCell ref="A37:O37"/>
    <mergeCell ref="A3:H3"/>
    <mergeCell ref="A4:H4"/>
    <mergeCell ref="B7:H7"/>
    <mergeCell ref="B8:B9"/>
    <mergeCell ref="C8:C9"/>
    <mergeCell ref="D8:D9"/>
    <mergeCell ref="E8:E9"/>
    <mergeCell ref="F8:F9"/>
    <mergeCell ref="G8:G9"/>
    <mergeCell ref="H8:H9"/>
  </mergeCells>
  <printOptions/>
  <pageMargins left="0.3937007874015748" right="0.2362204724409449" top="0.35433070866141736" bottom="0.6692913385826772" header="0.6692913385826772" footer="0.2755905511811024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80" zoomScaleNormal="80" zoomScalePageLayoutView="0" workbookViewId="0" topLeftCell="A1">
      <selection activeCell="D25" sqref="D25"/>
    </sheetView>
  </sheetViews>
  <sheetFormatPr defaultColWidth="9.140625" defaultRowHeight="12.75"/>
  <cols>
    <col min="1" max="1" width="39.57421875" style="0" customWidth="1"/>
    <col min="2" max="2" width="16.8515625" style="0" customWidth="1"/>
    <col min="3" max="3" width="13.140625" style="0" customWidth="1"/>
    <col min="4" max="4" width="15.140625" style="0" customWidth="1"/>
    <col min="5" max="5" width="16.57421875" style="0" customWidth="1"/>
    <col min="6" max="6" width="11.00390625" style="0" customWidth="1"/>
    <col min="7" max="7" width="23.00390625" style="0" customWidth="1"/>
    <col min="8" max="8" width="13.28125" style="0" customWidth="1"/>
    <col min="9" max="9" width="17.8515625" style="0" customWidth="1"/>
    <col min="10" max="10" width="13.00390625" style="0" customWidth="1"/>
    <col min="11" max="11" width="16.28125" style="0" customWidth="1"/>
    <col min="12" max="12" width="14.710937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32" t="s">
        <v>14</v>
      </c>
    </row>
    <row r="2" spans="1:15" ht="20.25">
      <c r="A2" s="160" t="s">
        <v>104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5" ht="15.75">
      <c r="A3" s="161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ht="13.5" thickBot="1">
      <c r="O4" s="8" t="s">
        <v>1</v>
      </c>
    </row>
    <row r="5" spans="1:15" ht="15.75" thickBot="1">
      <c r="A5" s="9" t="s">
        <v>3</v>
      </c>
      <c r="B5" s="183" t="s">
        <v>84</v>
      </c>
      <c r="C5" s="184"/>
      <c r="D5" s="184"/>
      <c r="E5" s="184"/>
      <c r="F5" s="184"/>
      <c r="G5" s="184"/>
      <c r="H5" s="185"/>
      <c r="I5" s="183" t="s">
        <v>105</v>
      </c>
      <c r="J5" s="184"/>
      <c r="K5" s="184"/>
      <c r="L5" s="184"/>
      <c r="M5" s="184"/>
      <c r="N5" s="184"/>
      <c r="O5" s="185"/>
    </row>
    <row r="6" spans="1:15" ht="15.75" customHeight="1">
      <c r="A6" s="10" t="s">
        <v>19</v>
      </c>
      <c r="B6" s="166" t="s">
        <v>4</v>
      </c>
      <c r="C6" s="181" t="s">
        <v>5</v>
      </c>
      <c r="D6" s="181" t="s">
        <v>6</v>
      </c>
      <c r="E6" s="172" t="s">
        <v>7</v>
      </c>
      <c r="F6" s="172" t="s">
        <v>0</v>
      </c>
      <c r="G6" s="172" t="s">
        <v>85</v>
      </c>
      <c r="H6" s="174" t="s">
        <v>83</v>
      </c>
      <c r="I6" s="166" t="s">
        <v>4</v>
      </c>
      <c r="J6" s="189" t="s">
        <v>5</v>
      </c>
      <c r="K6" s="189" t="s">
        <v>6</v>
      </c>
      <c r="L6" s="172" t="s">
        <v>7</v>
      </c>
      <c r="M6" s="172" t="s">
        <v>0</v>
      </c>
      <c r="N6" s="172" t="s">
        <v>85</v>
      </c>
      <c r="O6" s="174" t="s">
        <v>83</v>
      </c>
    </row>
    <row r="7" spans="1:15" ht="63.75" customHeight="1" thickBot="1">
      <c r="A7" s="11" t="s">
        <v>18</v>
      </c>
      <c r="B7" s="167"/>
      <c r="C7" s="182"/>
      <c r="D7" s="182"/>
      <c r="E7" s="173"/>
      <c r="F7" s="173"/>
      <c r="G7" s="173"/>
      <c r="H7" s="175"/>
      <c r="I7" s="167"/>
      <c r="J7" s="190"/>
      <c r="K7" s="190"/>
      <c r="L7" s="173"/>
      <c r="M7" s="173"/>
      <c r="N7" s="173"/>
      <c r="O7" s="175"/>
    </row>
    <row r="8" spans="1:15" ht="39" customHeight="1">
      <c r="A8" s="107" t="s">
        <v>100</v>
      </c>
      <c r="B8" s="92"/>
      <c r="C8" s="93"/>
      <c r="D8" s="93"/>
      <c r="E8" s="93">
        <v>60000</v>
      </c>
      <c r="F8" s="93"/>
      <c r="G8" s="94"/>
      <c r="H8" s="95"/>
      <c r="I8" s="100"/>
      <c r="J8" s="97"/>
      <c r="K8" s="97"/>
      <c r="L8" s="93">
        <v>60000</v>
      </c>
      <c r="M8" s="97"/>
      <c r="N8" s="98"/>
      <c r="O8" s="99"/>
    </row>
    <row r="9" spans="1:15" ht="24.75" customHeight="1">
      <c r="A9" s="108" t="s">
        <v>110</v>
      </c>
      <c r="B9" s="92"/>
      <c r="C9" s="93"/>
      <c r="D9" s="93"/>
      <c r="E9" s="93">
        <v>10330363.5</v>
      </c>
      <c r="F9" s="93"/>
      <c r="G9" s="94"/>
      <c r="H9" s="95"/>
      <c r="I9" s="100"/>
      <c r="J9" s="97"/>
      <c r="K9" s="97"/>
      <c r="L9" s="93">
        <v>10330363.5</v>
      </c>
      <c r="M9" s="97"/>
      <c r="N9" s="98"/>
      <c r="O9" s="99"/>
    </row>
    <row r="10" spans="1:15" ht="33" customHeight="1">
      <c r="A10" s="109" t="s">
        <v>111</v>
      </c>
      <c r="B10" s="92"/>
      <c r="C10" s="93"/>
      <c r="D10" s="93"/>
      <c r="E10" s="93">
        <v>17720</v>
      </c>
      <c r="F10" s="93"/>
      <c r="G10" s="94"/>
      <c r="H10" s="95"/>
      <c r="I10" s="92"/>
      <c r="J10" s="97"/>
      <c r="K10" s="97"/>
      <c r="L10" s="93">
        <v>17720</v>
      </c>
      <c r="M10" s="97"/>
      <c r="N10" s="98"/>
      <c r="O10" s="99"/>
    </row>
    <row r="11" spans="1:15" ht="24.75" customHeight="1">
      <c r="A11" s="110" t="s">
        <v>112</v>
      </c>
      <c r="B11" s="92"/>
      <c r="C11" s="93"/>
      <c r="D11" s="93"/>
      <c r="E11" s="93">
        <v>2500</v>
      </c>
      <c r="F11" s="93"/>
      <c r="G11" s="94"/>
      <c r="H11" s="95"/>
      <c r="I11" s="92"/>
      <c r="J11" s="97"/>
      <c r="K11" s="97"/>
      <c r="L11" s="93">
        <v>2500</v>
      </c>
      <c r="M11" s="97"/>
      <c r="N11" s="98"/>
      <c r="O11" s="99"/>
    </row>
    <row r="12" spans="1:15" ht="24.75" customHeight="1">
      <c r="A12" s="110" t="s">
        <v>113</v>
      </c>
      <c r="B12" s="92"/>
      <c r="C12" s="93"/>
      <c r="D12" s="93"/>
      <c r="E12" s="93">
        <v>20000</v>
      </c>
      <c r="F12" s="93"/>
      <c r="G12" s="94"/>
      <c r="H12" s="95"/>
      <c r="I12" s="100"/>
      <c r="J12" s="97"/>
      <c r="K12" s="97"/>
      <c r="L12" s="93">
        <v>20000</v>
      </c>
      <c r="M12" s="97"/>
      <c r="N12" s="98"/>
      <c r="O12" s="99"/>
    </row>
    <row r="13" spans="1:15" ht="24.75" customHeight="1">
      <c r="A13" s="110" t="s">
        <v>93</v>
      </c>
      <c r="B13" s="96"/>
      <c r="C13" s="97">
        <v>200</v>
      </c>
      <c r="D13" s="97"/>
      <c r="E13" s="97"/>
      <c r="F13" s="97"/>
      <c r="G13" s="98"/>
      <c r="H13" s="99"/>
      <c r="I13" s="100"/>
      <c r="J13" s="97">
        <v>200</v>
      </c>
      <c r="K13" s="97"/>
      <c r="L13" s="97"/>
      <c r="M13" s="97"/>
      <c r="N13" s="98"/>
      <c r="O13" s="99"/>
    </row>
    <row r="14" spans="1:15" ht="24.75" customHeight="1">
      <c r="A14" s="111" t="s">
        <v>98</v>
      </c>
      <c r="B14" s="96"/>
      <c r="C14" s="97">
        <v>2000</v>
      </c>
      <c r="D14" s="97"/>
      <c r="E14" s="97"/>
      <c r="F14" s="97"/>
      <c r="G14" s="98"/>
      <c r="H14" s="99"/>
      <c r="I14" s="100"/>
      <c r="J14" s="97">
        <v>2000</v>
      </c>
      <c r="K14" s="97"/>
      <c r="L14" s="97"/>
      <c r="M14" s="97"/>
      <c r="N14" s="98"/>
      <c r="O14" s="99"/>
    </row>
    <row r="15" spans="1:15" ht="24.75" customHeight="1">
      <c r="A15" s="111" t="s">
        <v>67</v>
      </c>
      <c r="B15" s="96"/>
      <c r="C15" s="97"/>
      <c r="D15" s="97">
        <v>250000</v>
      </c>
      <c r="E15" s="97"/>
      <c r="F15" s="97"/>
      <c r="G15" s="98"/>
      <c r="H15" s="99"/>
      <c r="I15" s="100"/>
      <c r="J15" s="97"/>
      <c r="K15" s="97">
        <v>250000</v>
      </c>
      <c r="L15" s="97"/>
      <c r="M15" s="97"/>
      <c r="N15" s="98"/>
      <c r="O15" s="99"/>
    </row>
    <row r="16" spans="1:15" ht="24.75" customHeight="1">
      <c r="A16" s="110" t="s">
        <v>94</v>
      </c>
      <c r="B16" s="3"/>
      <c r="C16" s="1"/>
      <c r="D16" s="1">
        <v>3000</v>
      </c>
      <c r="E16" s="1"/>
      <c r="F16" s="1"/>
      <c r="G16" s="29"/>
      <c r="H16" s="4"/>
      <c r="I16" s="100"/>
      <c r="J16" s="1"/>
      <c r="K16" s="1">
        <v>3000</v>
      </c>
      <c r="L16" s="97"/>
      <c r="M16" s="97"/>
      <c r="N16" s="98"/>
      <c r="O16" s="99"/>
    </row>
    <row r="17" spans="1:15" ht="24.75" customHeight="1">
      <c r="A17" s="110" t="s">
        <v>95</v>
      </c>
      <c r="B17" s="3"/>
      <c r="C17" s="1">
        <v>11500</v>
      </c>
      <c r="D17" s="1"/>
      <c r="E17" s="1"/>
      <c r="F17" s="1"/>
      <c r="G17" s="29"/>
      <c r="H17" s="4"/>
      <c r="I17" s="100"/>
      <c r="J17" s="1">
        <v>11500</v>
      </c>
      <c r="K17" s="97"/>
      <c r="L17" s="97"/>
      <c r="M17" s="97"/>
      <c r="N17" s="98"/>
      <c r="O17" s="99"/>
    </row>
    <row r="18" spans="1:15" ht="24.75" customHeight="1">
      <c r="A18" s="110" t="s">
        <v>88</v>
      </c>
      <c r="B18" s="3"/>
      <c r="C18" s="1">
        <v>70000</v>
      </c>
      <c r="D18" s="1"/>
      <c r="E18" s="1"/>
      <c r="F18" s="1"/>
      <c r="G18" s="29"/>
      <c r="H18" s="4"/>
      <c r="I18" s="15"/>
      <c r="J18" s="1">
        <v>70000</v>
      </c>
      <c r="K18" s="1"/>
      <c r="L18" s="1"/>
      <c r="M18" s="1"/>
      <c r="N18" s="29"/>
      <c r="O18" s="4"/>
    </row>
    <row r="19" spans="1:15" ht="24.75" customHeight="1">
      <c r="A19" s="110" t="s">
        <v>96</v>
      </c>
      <c r="B19" s="3"/>
      <c r="C19" s="1"/>
      <c r="D19" s="1"/>
      <c r="E19" s="1"/>
      <c r="F19" s="1">
        <v>200</v>
      </c>
      <c r="G19" s="29"/>
      <c r="H19" s="4"/>
      <c r="I19" s="15"/>
      <c r="J19" s="1"/>
      <c r="K19" s="1"/>
      <c r="L19" s="1"/>
      <c r="M19" s="1">
        <v>200</v>
      </c>
      <c r="N19" s="29"/>
      <c r="O19" s="4"/>
    </row>
    <row r="20" spans="1:15" ht="24.75" customHeight="1">
      <c r="A20" s="110" t="s">
        <v>97</v>
      </c>
      <c r="B20" s="3"/>
      <c r="C20" s="1"/>
      <c r="D20" s="1"/>
      <c r="E20" s="1"/>
      <c r="F20" s="1">
        <v>2500</v>
      </c>
      <c r="G20" s="29"/>
      <c r="H20" s="4"/>
      <c r="I20" s="15"/>
      <c r="J20" s="1"/>
      <c r="K20" s="1"/>
      <c r="L20" s="1"/>
      <c r="M20" s="1">
        <v>2500</v>
      </c>
      <c r="N20" s="29"/>
      <c r="O20" s="4"/>
    </row>
    <row r="21" spans="1:15" ht="24.75" customHeight="1">
      <c r="A21" s="110" t="s">
        <v>21</v>
      </c>
      <c r="B21" s="3">
        <v>1888187</v>
      </c>
      <c r="C21" s="1"/>
      <c r="D21" s="1"/>
      <c r="E21" s="1"/>
      <c r="F21" s="1"/>
      <c r="G21" s="29"/>
      <c r="H21" s="4"/>
      <c r="I21" s="3">
        <v>1888187</v>
      </c>
      <c r="J21" s="1"/>
      <c r="K21" s="1"/>
      <c r="L21" s="1"/>
      <c r="M21" s="1"/>
      <c r="N21" s="29"/>
      <c r="O21" s="4"/>
    </row>
    <row r="22" spans="1:15" ht="24.75" customHeight="1">
      <c r="A22" s="110" t="s">
        <v>22</v>
      </c>
      <c r="B22" s="3">
        <v>462000</v>
      </c>
      <c r="C22" s="1"/>
      <c r="D22" s="1"/>
      <c r="E22" s="1"/>
      <c r="F22" s="1"/>
      <c r="G22" s="29"/>
      <c r="H22" s="4"/>
      <c r="I22" s="3">
        <v>462000</v>
      </c>
      <c r="J22" s="1"/>
      <c r="K22" s="1"/>
      <c r="L22" s="1"/>
      <c r="M22" s="1"/>
      <c r="N22" s="29"/>
      <c r="O22" s="4"/>
    </row>
    <row r="23" spans="1:15" ht="24.75" customHeight="1">
      <c r="A23" s="110" t="s">
        <v>23</v>
      </c>
      <c r="B23" s="3"/>
      <c r="C23" s="1">
        <v>500</v>
      </c>
      <c r="D23" s="1"/>
      <c r="E23" s="1"/>
      <c r="F23" s="1"/>
      <c r="G23" s="29"/>
      <c r="H23" s="4"/>
      <c r="I23" s="15"/>
      <c r="J23" s="1">
        <v>500</v>
      </c>
      <c r="K23" s="1"/>
      <c r="L23" s="1"/>
      <c r="M23" s="1"/>
      <c r="N23" s="29"/>
      <c r="O23" s="4"/>
    </row>
    <row r="24" spans="1:15" ht="24.75" customHeight="1" thickBot="1">
      <c r="A24" s="112"/>
      <c r="B24" s="12"/>
      <c r="C24" s="13"/>
      <c r="D24" s="13"/>
      <c r="E24" s="13"/>
      <c r="F24" s="13"/>
      <c r="G24" s="30"/>
      <c r="H24" s="14"/>
      <c r="I24" s="16"/>
      <c r="J24" s="13"/>
      <c r="K24" s="13"/>
      <c r="L24" s="13"/>
      <c r="M24" s="13"/>
      <c r="N24" s="30"/>
      <c r="O24" s="14"/>
    </row>
    <row r="25" spans="1:15" ht="24.75" customHeight="1" thickBot="1">
      <c r="A25" s="2" t="s">
        <v>2</v>
      </c>
      <c r="B25" s="74">
        <f>SUM(B8:B24)</f>
        <v>2350187</v>
      </c>
      <c r="C25" s="74">
        <f aca="true" t="shared" si="0" ref="C25:O25">SUM(C8:C24)</f>
        <v>84200</v>
      </c>
      <c r="D25" s="74">
        <f t="shared" si="0"/>
        <v>253000</v>
      </c>
      <c r="E25" s="74">
        <f t="shared" si="0"/>
        <v>10430583.5</v>
      </c>
      <c r="F25" s="74">
        <f t="shared" si="0"/>
        <v>2700</v>
      </c>
      <c r="G25" s="74">
        <f t="shared" si="0"/>
        <v>0</v>
      </c>
      <c r="H25" s="74">
        <f t="shared" si="0"/>
        <v>0</v>
      </c>
      <c r="I25" s="74">
        <f t="shared" si="0"/>
        <v>2350187</v>
      </c>
      <c r="J25" s="74">
        <f t="shared" si="0"/>
        <v>84200</v>
      </c>
      <c r="K25" s="74">
        <f t="shared" si="0"/>
        <v>253000</v>
      </c>
      <c r="L25" s="74">
        <f t="shared" si="0"/>
        <v>10430583.5</v>
      </c>
      <c r="M25" s="74">
        <f t="shared" si="0"/>
        <v>2700</v>
      </c>
      <c r="N25" s="74">
        <f t="shared" si="0"/>
        <v>0</v>
      </c>
      <c r="O25" s="74">
        <f t="shared" si="0"/>
        <v>0</v>
      </c>
    </row>
    <row r="26" spans="1:15" ht="24.75" customHeight="1" thickBot="1">
      <c r="A26" s="2" t="s">
        <v>106</v>
      </c>
      <c r="B26" s="186">
        <f>SUM(B25:H25)</f>
        <v>13120670.5</v>
      </c>
      <c r="C26" s="187"/>
      <c r="D26" s="187"/>
      <c r="E26" s="187"/>
      <c r="F26" s="187"/>
      <c r="G26" s="187"/>
      <c r="H26" s="188"/>
      <c r="I26" s="186">
        <f>SUM(I25:O25)</f>
        <v>13120670.5</v>
      </c>
      <c r="J26" s="187"/>
      <c r="K26" s="187"/>
      <c r="L26" s="187"/>
      <c r="M26" s="187"/>
      <c r="N26" s="187"/>
      <c r="O26" s="188"/>
    </row>
    <row r="28" spans="1:9" ht="15.75">
      <c r="A28" s="5"/>
      <c r="B28" s="6"/>
      <c r="C28" s="6"/>
      <c r="D28" s="6"/>
      <c r="E28" s="6"/>
      <c r="F28" s="6"/>
      <c r="G28" s="33"/>
      <c r="H28" s="33"/>
      <c r="I28" s="33"/>
    </row>
    <row r="29" spans="1:8" ht="15">
      <c r="A29" s="31"/>
      <c r="B29" s="6"/>
      <c r="C29" s="6"/>
      <c r="D29" s="6"/>
      <c r="E29" s="6"/>
      <c r="F29" s="6"/>
      <c r="G29" s="6"/>
      <c r="H29" s="6"/>
    </row>
    <row r="30" spans="1:15" ht="33.75" customHeight="1">
      <c r="A30" s="179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</row>
    <row r="31" spans="1:8" ht="15">
      <c r="A31" s="31"/>
      <c r="B31" s="6"/>
      <c r="C31" s="6"/>
      <c r="D31" s="6"/>
      <c r="E31" s="6"/>
      <c r="F31" s="6"/>
      <c r="G31" s="6"/>
      <c r="H31" s="6"/>
    </row>
  </sheetData>
  <sheetProtection/>
  <mergeCells count="21">
    <mergeCell ref="G6:G7"/>
    <mergeCell ref="D6:D7"/>
    <mergeCell ref="I26:O26"/>
    <mergeCell ref="N6:N7"/>
    <mergeCell ref="A30:O30"/>
    <mergeCell ref="H6:H7"/>
    <mergeCell ref="I6:I7"/>
    <mergeCell ref="J6:J7"/>
    <mergeCell ref="K6:K7"/>
    <mergeCell ref="F6:F7"/>
    <mergeCell ref="B26:H26"/>
    <mergeCell ref="O6:O7"/>
    <mergeCell ref="C6:C7"/>
    <mergeCell ref="E6:E7"/>
    <mergeCell ref="A2:O2"/>
    <mergeCell ref="A3:O3"/>
    <mergeCell ref="B5:H5"/>
    <mergeCell ref="I5:O5"/>
    <mergeCell ref="B6:B7"/>
    <mergeCell ref="M6:M7"/>
    <mergeCell ref="L6:L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tabSelected="1" zoomScalePageLayoutView="0" workbookViewId="0" topLeftCell="A1">
      <selection activeCell="A32" sqref="A32:IV32"/>
    </sheetView>
  </sheetViews>
  <sheetFormatPr defaultColWidth="9.140625" defaultRowHeight="12.75"/>
  <cols>
    <col min="1" max="1" width="11.140625" style="70" customWidth="1"/>
    <col min="2" max="2" width="29.00390625" style="71" customWidth="1"/>
    <col min="3" max="5" width="17.140625" style="38" customWidth="1"/>
    <col min="6" max="6" width="14.7109375" style="38" customWidth="1"/>
    <col min="7" max="7" width="16.7109375" style="42" customWidth="1"/>
    <col min="8" max="15" width="16.7109375" style="38" customWidth="1"/>
    <col min="16" max="16" width="16.7109375" style="38" hidden="1" customWidth="1"/>
    <col min="17" max="17" width="16.421875" style="38" hidden="1" customWidth="1"/>
    <col min="18" max="18" width="10.421875" style="38" customWidth="1"/>
    <col min="19" max="16384" width="9.140625" style="38" customWidth="1"/>
  </cols>
  <sheetData>
    <row r="1" spans="1:18" ht="24.75" customHeight="1">
      <c r="A1" s="191" t="s">
        <v>122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37" t="s">
        <v>15</v>
      </c>
      <c r="P1" s="36"/>
      <c r="Q1" s="36"/>
      <c r="R1" s="36"/>
    </row>
    <row r="2" spans="1:18" ht="20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0.2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7" ht="18" customHeight="1">
      <c r="A4" s="113" t="s">
        <v>25</v>
      </c>
      <c r="B4" s="39"/>
      <c r="C4" s="39"/>
      <c r="D4" s="39"/>
      <c r="E4" s="39"/>
      <c r="F4" s="39"/>
      <c r="G4" s="40"/>
    </row>
    <row r="5" spans="1:2" ht="15" customHeight="1">
      <c r="A5" s="41" t="s">
        <v>24</v>
      </c>
      <c r="B5" s="38"/>
    </row>
    <row r="6" spans="1:2" ht="16.5" customHeight="1">
      <c r="A6" s="34"/>
      <c r="B6" s="38"/>
    </row>
    <row r="7" spans="1:15" ht="15">
      <c r="A7" s="43"/>
      <c r="B7" s="43"/>
      <c r="C7" s="43"/>
      <c r="D7" s="43"/>
      <c r="E7" s="43"/>
      <c r="F7" s="43"/>
      <c r="G7" s="44"/>
      <c r="H7" s="43"/>
      <c r="I7" s="43"/>
      <c r="J7" s="43"/>
      <c r="K7" s="43"/>
      <c r="L7" s="43"/>
      <c r="M7" s="43"/>
      <c r="N7" s="43"/>
      <c r="O7" s="45" t="s">
        <v>1</v>
      </c>
    </row>
    <row r="8" spans="1:15" ht="8.25" customHeight="1">
      <c r="A8" s="46"/>
      <c r="B8" s="46"/>
      <c r="C8" s="46"/>
      <c r="D8" s="46"/>
      <c r="E8" s="46"/>
      <c r="F8" s="46"/>
      <c r="G8" s="47"/>
      <c r="H8" s="47"/>
      <c r="I8" s="47"/>
      <c r="J8" s="47"/>
      <c r="K8" s="47"/>
      <c r="L8" s="47"/>
      <c r="M8" s="47"/>
      <c r="N8" s="47"/>
      <c r="O8" s="47"/>
    </row>
    <row r="9" spans="1:17" ht="9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O9" s="48"/>
      <c r="P9" s="46"/>
      <c r="Q9" s="46"/>
    </row>
    <row r="10" spans="1:17" s="42" customFormat="1" ht="90">
      <c r="A10" s="49" t="s">
        <v>20</v>
      </c>
      <c r="B10" s="49" t="s">
        <v>107</v>
      </c>
      <c r="C10" s="105" t="s">
        <v>117</v>
      </c>
      <c r="D10" s="105" t="s">
        <v>126</v>
      </c>
      <c r="E10" s="50" t="s">
        <v>125</v>
      </c>
      <c r="F10" s="105" t="s">
        <v>119</v>
      </c>
      <c r="G10" s="50" t="s">
        <v>118</v>
      </c>
      <c r="H10" s="50" t="s">
        <v>5</v>
      </c>
      <c r="I10" s="50" t="s">
        <v>6</v>
      </c>
      <c r="J10" s="50" t="s">
        <v>7</v>
      </c>
      <c r="K10" s="50" t="s">
        <v>8</v>
      </c>
      <c r="L10" s="50" t="s">
        <v>86</v>
      </c>
      <c r="M10" s="50" t="s">
        <v>83</v>
      </c>
      <c r="N10" s="72" t="s">
        <v>87</v>
      </c>
      <c r="O10" s="72" t="s">
        <v>108</v>
      </c>
      <c r="P10" s="51" t="s">
        <v>9</v>
      </c>
      <c r="Q10" s="51" t="s">
        <v>10</v>
      </c>
    </row>
    <row r="11" spans="1:17" s="42" customFormat="1" ht="15">
      <c r="A11" s="114">
        <v>3</v>
      </c>
      <c r="B11" s="114" t="s">
        <v>109</v>
      </c>
      <c r="C11" s="115"/>
      <c r="D11" s="115"/>
      <c r="E11" s="115"/>
      <c r="F11" s="115"/>
      <c r="G11" s="116"/>
      <c r="H11" s="116"/>
      <c r="I11" s="116"/>
      <c r="J11" s="116"/>
      <c r="K11" s="116"/>
      <c r="L11" s="116"/>
      <c r="M11" s="116"/>
      <c r="N11" s="117"/>
      <c r="O11" s="117"/>
      <c r="P11" s="118"/>
      <c r="Q11" s="118"/>
    </row>
    <row r="12" spans="1:17" ht="14.25" customHeight="1">
      <c r="A12" s="52">
        <v>31</v>
      </c>
      <c r="B12" s="52" t="s">
        <v>26</v>
      </c>
      <c r="C12" s="53">
        <v>10735957</v>
      </c>
      <c r="D12" s="53">
        <v>11400322</v>
      </c>
      <c r="E12" s="53">
        <f>SUM(F12:M12)</f>
        <v>11614899.23</v>
      </c>
      <c r="F12" s="53">
        <f>SUM(F14:F17)</f>
        <v>0</v>
      </c>
      <c r="G12" s="53">
        <f aca="true" t="shared" si="0" ref="G12:M12">SUM(G14:G17)</f>
        <v>668712.7300000001</v>
      </c>
      <c r="H12" s="53">
        <f t="shared" si="0"/>
        <v>0</v>
      </c>
      <c r="I12" s="53">
        <f t="shared" si="0"/>
        <v>0</v>
      </c>
      <c r="J12" s="53">
        <f t="shared" si="0"/>
        <v>10946186.5</v>
      </c>
      <c r="K12" s="53">
        <f t="shared" si="0"/>
        <v>0</v>
      </c>
      <c r="L12" s="53">
        <f t="shared" si="0"/>
        <v>0</v>
      </c>
      <c r="M12" s="53">
        <f t="shared" si="0"/>
        <v>0</v>
      </c>
      <c r="N12" s="53">
        <v>10735957</v>
      </c>
      <c r="O12" s="53">
        <v>10735957</v>
      </c>
      <c r="P12" s="54">
        <f>SUM(P13:P20)</f>
        <v>0</v>
      </c>
      <c r="Q12" s="54">
        <f>SUM(Q13:Q20)</f>
        <v>0</v>
      </c>
    </row>
    <row r="13" spans="1:17" ht="14.25" customHeight="1">
      <c r="A13" s="55">
        <v>311</v>
      </c>
      <c r="B13" s="56" t="s">
        <v>27</v>
      </c>
      <c r="C13" s="53"/>
      <c r="D13" s="53"/>
      <c r="E13" s="53"/>
      <c r="F13" s="53"/>
      <c r="G13" s="57"/>
      <c r="H13" s="57"/>
      <c r="I13" s="57"/>
      <c r="J13" s="57"/>
      <c r="K13" s="57"/>
      <c r="L13" s="57"/>
      <c r="M13" s="57"/>
      <c r="N13" s="57"/>
      <c r="O13" s="57"/>
      <c r="P13" s="38">
        <v>0</v>
      </c>
      <c r="Q13" s="38">
        <v>0</v>
      </c>
    </row>
    <row r="14" spans="1:17" ht="14.25" customHeight="1">
      <c r="A14" s="55">
        <v>3111</v>
      </c>
      <c r="B14" s="58" t="s">
        <v>28</v>
      </c>
      <c r="C14" s="65">
        <v>9024285</v>
      </c>
      <c r="D14" s="65">
        <v>9585962</v>
      </c>
      <c r="E14" s="65">
        <f>SUM(F14:M14)</f>
        <v>9674509.65</v>
      </c>
      <c r="F14" s="65"/>
      <c r="G14" s="57">
        <f>346528.95+197044.34+39958.08+2000</f>
        <v>585531.37</v>
      </c>
      <c r="H14" s="57"/>
      <c r="I14" s="57"/>
      <c r="J14" s="57">
        <f>8998393.56+10000+20000+44220.22+13445.09+2919.41</f>
        <v>9088978.280000001</v>
      </c>
      <c r="K14" s="57"/>
      <c r="L14" s="57"/>
      <c r="M14" s="57"/>
      <c r="N14" s="57"/>
      <c r="O14" s="57"/>
      <c r="P14" s="38">
        <v>0</v>
      </c>
      <c r="Q14" s="38">
        <v>0</v>
      </c>
    </row>
    <row r="15" spans="1:17" ht="14.25" customHeight="1">
      <c r="A15" s="55">
        <v>3121</v>
      </c>
      <c r="B15" s="56" t="s">
        <v>29</v>
      </c>
      <c r="C15" s="65">
        <v>176161</v>
      </c>
      <c r="D15" s="65">
        <v>189366</v>
      </c>
      <c r="E15" s="65">
        <f>SUM(F15:M15)</f>
        <v>303366.2</v>
      </c>
      <c r="F15" s="65"/>
      <c r="G15" s="57">
        <f>7500</f>
        <v>7500</v>
      </c>
      <c r="H15" s="57"/>
      <c r="I15" s="57"/>
      <c r="J15" s="57">
        <f>89337.69+28000+11372.92+25970.63+112500+14206.96+9978+4500</f>
        <v>295866.2</v>
      </c>
      <c r="K15" s="57"/>
      <c r="L15" s="57"/>
      <c r="M15" s="57"/>
      <c r="N15" s="57"/>
      <c r="O15" s="57"/>
      <c r="P15" s="38">
        <v>0</v>
      </c>
      <c r="Q15" s="38">
        <v>0</v>
      </c>
    </row>
    <row r="16" spans="1:15" ht="14.25" customHeight="1">
      <c r="A16" s="55">
        <v>3132</v>
      </c>
      <c r="B16" s="56" t="s">
        <v>30</v>
      </c>
      <c r="C16" s="65">
        <v>1383587</v>
      </c>
      <c r="D16" s="65">
        <v>1463407</v>
      </c>
      <c r="E16" s="65">
        <f>SUM(F16:M16)</f>
        <v>1474155</v>
      </c>
      <c r="F16" s="65"/>
      <c r="G16" s="57">
        <f>10000+51334.3+6193.5+300</f>
        <v>67827.8</v>
      </c>
      <c r="H16" s="57"/>
      <c r="I16" s="57"/>
      <c r="J16" s="57">
        <f>1394752.08+2000+184.46+6854.16+2083.99+452.51</f>
        <v>1406327.2</v>
      </c>
      <c r="K16" s="57"/>
      <c r="L16" s="57"/>
      <c r="M16" s="57"/>
      <c r="N16" s="57"/>
      <c r="O16" s="57"/>
    </row>
    <row r="17" spans="1:15" ht="14.25" customHeight="1">
      <c r="A17" s="55">
        <v>3133</v>
      </c>
      <c r="B17" s="56" t="s">
        <v>31</v>
      </c>
      <c r="C17" s="65">
        <v>151924</v>
      </c>
      <c r="D17" s="65">
        <v>161586</v>
      </c>
      <c r="E17" s="65">
        <f>SUM(F17:M17)</f>
        <v>162868.38</v>
      </c>
      <c r="F17" s="65"/>
      <c r="G17" s="57">
        <f>1500+5630.3+679.26+44</f>
        <v>7853.56</v>
      </c>
      <c r="H17" s="57"/>
      <c r="I17" s="57"/>
      <c r="J17" s="57">
        <f>152972.88+312+700+751.74+228.57+49.63</f>
        <v>155014.82</v>
      </c>
      <c r="K17" s="57"/>
      <c r="L17" s="57"/>
      <c r="M17" s="57"/>
      <c r="N17" s="57"/>
      <c r="O17" s="57"/>
    </row>
    <row r="18" spans="1:15" ht="14.25" customHeight="1" hidden="1">
      <c r="A18" s="55"/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1:17" ht="14.25" customHeight="1">
      <c r="A19" s="55"/>
      <c r="B19" s="59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38">
        <v>0</v>
      </c>
      <c r="Q19" s="38">
        <v>0</v>
      </c>
    </row>
    <row r="20" spans="1:17" ht="14.25" customHeight="1">
      <c r="A20" s="60">
        <v>32</v>
      </c>
      <c r="B20" s="75" t="s">
        <v>32</v>
      </c>
      <c r="C20" s="61">
        <v>2320714</v>
      </c>
      <c r="D20" s="61">
        <v>2192641</v>
      </c>
      <c r="E20" s="61">
        <f>SUM(F20:M20)</f>
        <v>2354729.9899999998</v>
      </c>
      <c r="F20" s="61">
        <f>SUM(F21:F45)</f>
        <v>43840.14000000001</v>
      </c>
      <c r="G20" s="61">
        <f aca="true" t="shared" si="1" ref="G20:M20">SUM(G21:G45)</f>
        <v>1150925</v>
      </c>
      <c r="H20" s="61">
        <f t="shared" si="1"/>
        <v>28000</v>
      </c>
      <c r="I20" s="61">
        <f t="shared" si="1"/>
        <v>503000</v>
      </c>
      <c r="J20" s="61">
        <f t="shared" si="1"/>
        <v>623264.85</v>
      </c>
      <c r="K20" s="61">
        <f t="shared" si="1"/>
        <v>5700</v>
      </c>
      <c r="L20" s="61">
        <f t="shared" si="1"/>
        <v>0</v>
      </c>
      <c r="M20" s="61">
        <f t="shared" si="1"/>
        <v>0</v>
      </c>
      <c r="N20" s="61">
        <v>1870514</v>
      </c>
      <c r="O20" s="61">
        <v>1870514</v>
      </c>
      <c r="P20" s="38">
        <v>0</v>
      </c>
      <c r="Q20" s="38">
        <v>0</v>
      </c>
    </row>
    <row r="21" spans="1:17" ht="14.25" customHeight="1">
      <c r="A21" s="55">
        <v>3211</v>
      </c>
      <c r="B21" s="56" t="s">
        <v>33</v>
      </c>
      <c r="C21" s="57">
        <v>103000</v>
      </c>
      <c r="D21" s="57">
        <v>63939</v>
      </c>
      <c r="E21" s="57">
        <f>SUM(F21:M21)</f>
        <v>86146.16</v>
      </c>
      <c r="F21" s="57">
        <v>6029.62</v>
      </c>
      <c r="G21" s="76">
        <f>40000+1500+3740</f>
        <v>45240</v>
      </c>
      <c r="H21" s="57">
        <v>2300</v>
      </c>
      <c r="I21" s="57"/>
      <c r="J21" s="57">
        <f>15276.54+1800+5000+8000+1000+1000</f>
        <v>32076.54</v>
      </c>
      <c r="K21" s="57">
        <v>500</v>
      </c>
      <c r="L21" s="57"/>
      <c r="M21" s="57"/>
      <c r="N21" s="57"/>
      <c r="O21" s="57"/>
      <c r="P21" s="54">
        <f>SUM(P22:P71)</f>
        <v>0</v>
      </c>
      <c r="Q21" s="54">
        <f>SUM(Q22:Q71)</f>
        <v>0</v>
      </c>
    </row>
    <row r="22" spans="1:17" ht="14.25" customHeight="1">
      <c r="A22" s="55">
        <v>3212</v>
      </c>
      <c r="B22" s="56" t="s">
        <v>34</v>
      </c>
      <c r="C22" s="57">
        <v>228850</v>
      </c>
      <c r="D22" s="57">
        <v>247639</v>
      </c>
      <c r="E22" s="57">
        <f aca="true" t="shared" si="2" ref="E22:E45">SUM(F22:M22)</f>
        <v>248638.76</v>
      </c>
      <c r="F22" s="57"/>
      <c r="G22" s="76">
        <f>4000+1125+25000</f>
        <v>30125</v>
      </c>
      <c r="H22" s="57"/>
      <c r="I22" s="57"/>
      <c r="J22" s="57">
        <f>218513.76</f>
        <v>218513.76</v>
      </c>
      <c r="K22" s="57"/>
      <c r="L22" s="57"/>
      <c r="M22" s="57"/>
      <c r="N22" s="57"/>
      <c r="O22" s="57"/>
      <c r="P22" s="38">
        <v>0</v>
      </c>
      <c r="Q22" s="38">
        <v>0</v>
      </c>
    </row>
    <row r="23" spans="1:17" ht="14.25" customHeight="1">
      <c r="A23" s="55">
        <v>3213</v>
      </c>
      <c r="B23" s="56" t="s">
        <v>35</v>
      </c>
      <c r="C23" s="57">
        <v>9000</v>
      </c>
      <c r="D23" s="57">
        <v>9400</v>
      </c>
      <c r="E23" s="57">
        <f t="shared" si="2"/>
        <v>11900</v>
      </c>
      <c r="F23" s="57"/>
      <c r="G23" s="57">
        <f>6000+400</f>
        <v>6400</v>
      </c>
      <c r="H23" s="57">
        <v>500</v>
      </c>
      <c r="I23" s="57"/>
      <c r="J23" s="57">
        <f>5000</f>
        <v>5000</v>
      </c>
      <c r="K23" s="57"/>
      <c r="L23" s="57"/>
      <c r="M23" s="57"/>
      <c r="N23" s="57"/>
      <c r="O23" s="57"/>
      <c r="P23" s="38">
        <v>0</v>
      </c>
      <c r="Q23" s="38">
        <v>0</v>
      </c>
    </row>
    <row r="24" spans="1:15" ht="14.25" customHeight="1">
      <c r="A24" s="55">
        <v>3214</v>
      </c>
      <c r="B24" s="56" t="s">
        <v>36</v>
      </c>
      <c r="C24" s="57">
        <v>11500</v>
      </c>
      <c r="D24" s="57">
        <v>11500</v>
      </c>
      <c r="E24" s="57">
        <f t="shared" si="2"/>
        <v>11500</v>
      </c>
      <c r="F24" s="57"/>
      <c r="G24" s="76">
        <v>10000</v>
      </c>
      <c r="H24" s="57">
        <v>1500</v>
      </c>
      <c r="I24" s="57"/>
      <c r="J24" s="57"/>
      <c r="K24" s="57"/>
      <c r="L24" s="57"/>
      <c r="M24" s="57"/>
      <c r="N24" s="57"/>
      <c r="O24" s="57"/>
    </row>
    <row r="25" spans="1:15" ht="14.25" customHeight="1">
      <c r="A25" s="55">
        <v>3221</v>
      </c>
      <c r="B25" s="56" t="s">
        <v>37</v>
      </c>
      <c r="C25" s="57">
        <v>156700</v>
      </c>
      <c r="D25" s="57">
        <v>188020</v>
      </c>
      <c r="E25" s="57">
        <f t="shared" si="2"/>
        <v>205134.86</v>
      </c>
      <c r="F25" s="57">
        <f>4786.01+1818+2500.32</f>
        <v>9104.33</v>
      </c>
      <c r="G25" s="57">
        <f>145000+2837.15</f>
        <v>147837.15</v>
      </c>
      <c r="H25" s="57">
        <v>7300</v>
      </c>
      <c r="I25" s="57">
        <v>1000</v>
      </c>
      <c r="J25" s="57">
        <f>2000+693.38+2000+3000+4000+23000</f>
        <v>34693.380000000005</v>
      </c>
      <c r="K25" s="57">
        <f>5000+200</f>
        <v>5200</v>
      </c>
      <c r="L25" s="57"/>
      <c r="M25" s="57"/>
      <c r="N25" s="57"/>
      <c r="O25" s="57"/>
    </row>
    <row r="26" spans="1:15" ht="14.25" customHeight="1">
      <c r="A26" s="55">
        <v>3223</v>
      </c>
      <c r="B26" s="56" t="s">
        <v>38</v>
      </c>
      <c r="C26" s="57">
        <v>400500</v>
      </c>
      <c r="D26" s="57">
        <v>350500</v>
      </c>
      <c r="E26" s="57">
        <f t="shared" si="2"/>
        <v>350000</v>
      </c>
      <c r="F26" s="57"/>
      <c r="G26" s="57">
        <v>350000</v>
      </c>
      <c r="H26" s="57"/>
      <c r="I26" s="57"/>
      <c r="J26" s="57"/>
      <c r="K26" s="57"/>
      <c r="L26" s="57"/>
      <c r="M26" s="57"/>
      <c r="N26" s="57"/>
      <c r="O26" s="57"/>
    </row>
    <row r="27" spans="1:15" ht="14.25" customHeight="1">
      <c r="A27" s="55">
        <v>3224</v>
      </c>
      <c r="B27" s="56" t="s">
        <v>39</v>
      </c>
      <c r="C27" s="57">
        <v>10000</v>
      </c>
      <c r="D27" s="57">
        <v>10000</v>
      </c>
      <c r="E27" s="57">
        <f t="shared" si="2"/>
        <v>10000</v>
      </c>
      <c r="F27" s="57"/>
      <c r="G27" s="57">
        <v>10000</v>
      </c>
      <c r="H27" s="57"/>
      <c r="I27" s="57"/>
      <c r="J27" s="57"/>
      <c r="K27" s="57"/>
      <c r="L27" s="57"/>
      <c r="M27" s="57"/>
      <c r="N27" s="57"/>
      <c r="O27" s="57"/>
    </row>
    <row r="28" spans="1:15" ht="14.25" customHeight="1">
      <c r="A28" s="55">
        <v>3225</v>
      </c>
      <c r="B28" s="56" t="s">
        <v>40</v>
      </c>
      <c r="C28" s="57">
        <v>18000</v>
      </c>
      <c r="D28" s="57">
        <v>18000</v>
      </c>
      <c r="E28" s="57">
        <f t="shared" si="2"/>
        <v>58300</v>
      </c>
      <c r="F28" s="57"/>
      <c r="G28" s="57">
        <v>15000</v>
      </c>
      <c r="H28" s="57">
        <v>800</v>
      </c>
      <c r="I28" s="57"/>
      <c r="J28" s="57">
        <f>37500+5000</f>
        <v>42500</v>
      </c>
      <c r="K28" s="57"/>
      <c r="L28" s="57"/>
      <c r="M28" s="57"/>
      <c r="N28" s="57"/>
      <c r="O28" s="57"/>
    </row>
    <row r="29" spans="1:15" ht="14.25" customHeight="1">
      <c r="A29" s="55">
        <v>3227</v>
      </c>
      <c r="B29" s="56" t="s">
        <v>41</v>
      </c>
      <c r="C29" s="57">
        <v>3500</v>
      </c>
      <c r="D29" s="57">
        <v>3500</v>
      </c>
      <c r="E29" s="57">
        <f t="shared" si="2"/>
        <v>3500</v>
      </c>
      <c r="F29" s="57"/>
      <c r="G29" s="57">
        <v>3500</v>
      </c>
      <c r="H29" s="57"/>
      <c r="I29" s="57"/>
      <c r="J29" s="57"/>
      <c r="K29" s="57"/>
      <c r="L29" s="57"/>
      <c r="M29" s="57"/>
      <c r="N29" s="57"/>
      <c r="O29" s="57"/>
    </row>
    <row r="30" spans="1:15" ht="14.25" customHeight="1">
      <c r="A30" s="55">
        <v>3231</v>
      </c>
      <c r="B30" s="56" t="s">
        <v>42</v>
      </c>
      <c r="C30" s="57">
        <v>34500</v>
      </c>
      <c r="D30" s="57">
        <v>40500</v>
      </c>
      <c r="E30" s="57">
        <f t="shared" si="2"/>
        <v>43500</v>
      </c>
      <c r="F30" s="57">
        <v>1000</v>
      </c>
      <c r="G30" s="57">
        <v>35000</v>
      </c>
      <c r="H30" s="57">
        <v>1000</v>
      </c>
      <c r="I30" s="57"/>
      <c r="J30" s="57">
        <f>4500+2000</f>
        <v>6500</v>
      </c>
      <c r="K30" s="57"/>
      <c r="L30" s="57"/>
      <c r="M30" s="57"/>
      <c r="N30" s="57"/>
      <c r="O30" s="57"/>
    </row>
    <row r="31" spans="1:15" ht="14.25" customHeight="1">
      <c r="A31" s="55">
        <v>3232</v>
      </c>
      <c r="B31" s="56" t="s">
        <v>43</v>
      </c>
      <c r="C31" s="57">
        <v>179000</v>
      </c>
      <c r="D31" s="57">
        <v>152000</v>
      </c>
      <c r="E31" s="57">
        <f t="shared" si="2"/>
        <v>147000</v>
      </c>
      <c r="F31" s="57"/>
      <c r="G31" s="57">
        <v>142000</v>
      </c>
      <c r="H31" s="57">
        <v>3000</v>
      </c>
      <c r="I31" s="57">
        <v>2000</v>
      </c>
      <c r="J31" s="57"/>
      <c r="K31" s="57"/>
      <c r="L31" s="57"/>
      <c r="M31" s="57"/>
      <c r="N31" s="57"/>
      <c r="O31" s="57"/>
    </row>
    <row r="32" spans="1:15" ht="14.25" customHeight="1">
      <c r="A32" s="55">
        <v>3233</v>
      </c>
      <c r="B32" s="56" t="s">
        <v>44</v>
      </c>
      <c r="C32" s="57">
        <v>3000</v>
      </c>
      <c r="D32" s="57">
        <v>24728</v>
      </c>
      <c r="E32" s="57">
        <f t="shared" si="2"/>
        <v>65428.130000000005</v>
      </c>
      <c r="F32" s="57"/>
      <c r="G32" s="57">
        <v>1000</v>
      </c>
      <c r="H32" s="57">
        <v>800</v>
      </c>
      <c r="I32" s="57"/>
      <c r="J32" s="57">
        <f>21728.13+12000+700+3000+4900+13000+3000+2000+2100+1200</f>
        <v>63628.130000000005</v>
      </c>
      <c r="K32" s="57"/>
      <c r="L32" s="57"/>
      <c r="M32" s="57"/>
      <c r="N32" s="57"/>
      <c r="O32" s="57"/>
    </row>
    <row r="33" spans="1:15" ht="14.25" customHeight="1">
      <c r="A33" s="55">
        <v>3234</v>
      </c>
      <c r="B33" s="56" t="s">
        <v>45</v>
      </c>
      <c r="C33" s="57">
        <v>91000</v>
      </c>
      <c r="D33" s="57">
        <v>91000</v>
      </c>
      <c r="E33" s="57">
        <f t="shared" si="2"/>
        <v>90000</v>
      </c>
      <c r="F33" s="57"/>
      <c r="G33" s="57">
        <v>88000</v>
      </c>
      <c r="H33" s="57">
        <v>2000</v>
      </c>
      <c r="I33" s="57"/>
      <c r="J33" s="57"/>
      <c r="K33" s="57"/>
      <c r="L33" s="57"/>
      <c r="M33" s="57"/>
      <c r="N33" s="57"/>
      <c r="O33" s="57"/>
    </row>
    <row r="34" spans="1:15" ht="14.25" customHeight="1">
      <c r="A34" s="55">
        <v>3235</v>
      </c>
      <c r="B34" s="56" t="s">
        <v>46</v>
      </c>
      <c r="C34" s="57">
        <v>0</v>
      </c>
      <c r="D34" s="57">
        <v>0</v>
      </c>
      <c r="E34" s="57">
        <f t="shared" si="2"/>
        <v>0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1:15" ht="14.25" customHeight="1">
      <c r="A35" s="55">
        <v>3236</v>
      </c>
      <c r="B35" s="56" t="s">
        <v>47</v>
      </c>
      <c r="C35" s="57">
        <v>13000</v>
      </c>
      <c r="D35" s="57">
        <v>13000</v>
      </c>
      <c r="E35" s="57">
        <f t="shared" si="2"/>
        <v>13000</v>
      </c>
      <c r="F35" s="57"/>
      <c r="G35" s="57">
        <v>13000</v>
      </c>
      <c r="H35" s="57"/>
      <c r="I35" s="57"/>
      <c r="J35" s="57"/>
      <c r="K35" s="57"/>
      <c r="L35" s="57"/>
      <c r="M35" s="57"/>
      <c r="N35" s="57"/>
      <c r="O35" s="57"/>
    </row>
    <row r="36" spans="1:15" ht="14.25" customHeight="1">
      <c r="A36" s="55">
        <v>3237</v>
      </c>
      <c r="B36" s="56" t="s">
        <v>48</v>
      </c>
      <c r="C36" s="57">
        <v>73500</v>
      </c>
      <c r="D36" s="57">
        <v>124100</v>
      </c>
      <c r="E36" s="57">
        <f t="shared" si="2"/>
        <v>116500</v>
      </c>
      <c r="F36" s="57"/>
      <c r="G36" s="57">
        <v>43600</v>
      </c>
      <c r="H36" s="57">
        <v>500</v>
      </c>
      <c r="I36" s="57"/>
      <c r="J36" s="57">
        <f>7600+55200+9600</f>
        <v>72400</v>
      </c>
      <c r="K36" s="57"/>
      <c r="L36" s="57"/>
      <c r="M36" s="57"/>
      <c r="N36" s="57"/>
      <c r="O36" s="57"/>
    </row>
    <row r="37" spans="1:15" ht="14.25" customHeight="1">
      <c r="A37" s="55">
        <v>3238</v>
      </c>
      <c r="B37" s="56" t="s">
        <v>49</v>
      </c>
      <c r="C37" s="57">
        <v>24500</v>
      </c>
      <c r="D37" s="57">
        <v>24500</v>
      </c>
      <c r="E37" s="57">
        <f t="shared" si="2"/>
        <v>24500</v>
      </c>
      <c r="F37" s="57"/>
      <c r="G37" s="57">
        <f>21000+3000</f>
        <v>24000</v>
      </c>
      <c r="H37" s="57">
        <v>500</v>
      </c>
      <c r="I37" s="57"/>
      <c r="J37" s="57"/>
      <c r="K37" s="57"/>
      <c r="L37" s="57"/>
      <c r="M37" s="57"/>
      <c r="N37" s="57"/>
      <c r="O37" s="57"/>
    </row>
    <row r="38" spans="1:15" ht="14.25" customHeight="1">
      <c r="A38" s="55">
        <v>3239</v>
      </c>
      <c r="B38" s="56" t="s">
        <v>50</v>
      </c>
      <c r="C38" s="57">
        <v>699700</v>
      </c>
      <c r="D38" s="57">
        <v>635183</v>
      </c>
      <c r="E38" s="57">
        <f t="shared" si="2"/>
        <v>671646.22</v>
      </c>
      <c r="F38" s="57">
        <v>12310.87</v>
      </c>
      <c r="G38" s="57">
        <f>74700+62000+662.85</f>
        <v>137362.85</v>
      </c>
      <c r="H38" s="57">
        <v>2800</v>
      </c>
      <c r="I38" s="57">
        <f>250000+250000</f>
        <v>500000</v>
      </c>
      <c r="J38" s="57">
        <f>500+5672.5+5000+8000</f>
        <v>19172.5</v>
      </c>
      <c r="K38" s="57"/>
      <c r="L38" s="57"/>
      <c r="M38" s="57"/>
      <c r="N38" s="57"/>
      <c r="O38" s="57"/>
    </row>
    <row r="39" spans="1:15" ht="14.25" customHeight="1">
      <c r="A39" s="55">
        <v>3241</v>
      </c>
      <c r="B39" s="56" t="s">
        <v>51</v>
      </c>
      <c r="C39" s="57">
        <v>145000</v>
      </c>
      <c r="D39" s="57">
        <v>75100</v>
      </c>
      <c r="E39" s="57">
        <f t="shared" si="2"/>
        <v>77099.59</v>
      </c>
      <c r="F39" s="57">
        <v>9639.59</v>
      </c>
      <c r="G39" s="57">
        <v>5460</v>
      </c>
      <c r="H39" s="57"/>
      <c r="I39" s="57"/>
      <c r="J39" s="57">
        <f>30000+12000+20000</f>
        <v>62000</v>
      </c>
      <c r="K39" s="57"/>
      <c r="L39" s="57"/>
      <c r="M39" s="57"/>
      <c r="N39" s="57"/>
      <c r="O39" s="57"/>
    </row>
    <row r="40" spans="1:15" ht="14.25" customHeight="1">
      <c r="A40" s="55">
        <v>3291</v>
      </c>
      <c r="B40" s="56" t="s">
        <v>52</v>
      </c>
      <c r="C40" s="57">
        <v>10000</v>
      </c>
      <c r="D40" s="57">
        <v>4411</v>
      </c>
      <c r="E40" s="57">
        <f t="shared" si="2"/>
        <v>4410.72</v>
      </c>
      <c r="F40" s="57"/>
      <c r="G40" s="57"/>
      <c r="H40" s="57"/>
      <c r="I40" s="57"/>
      <c r="J40" s="57">
        <v>4410.72</v>
      </c>
      <c r="K40" s="57"/>
      <c r="L40" s="57"/>
      <c r="M40" s="57"/>
      <c r="N40" s="57"/>
      <c r="O40" s="57"/>
    </row>
    <row r="41" spans="1:15" ht="14.25" customHeight="1">
      <c r="A41" s="55">
        <v>3292</v>
      </c>
      <c r="B41" s="56" t="s">
        <v>53</v>
      </c>
      <c r="C41" s="57">
        <v>37300</v>
      </c>
      <c r="D41" s="57">
        <v>27300</v>
      </c>
      <c r="E41" s="57">
        <f t="shared" si="2"/>
        <v>28500</v>
      </c>
      <c r="F41" s="57"/>
      <c r="G41" s="57">
        <v>28500</v>
      </c>
      <c r="H41" s="57"/>
      <c r="I41" s="57"/>
      <c r="J41" s="57"/>
      <c r="K41" s="57"/>
      <c r="L41" s="57"/>
      <c r="M41" s="57"/>
      <c r="N41" s="57"/>
      <c r="O41" s="57"/>
    </row>
    <row r="42" spans="1:15" ht="14.25" customHeight="1">
      <c r="A42" s="55">
        <v>3293</v>
      </c>
      <c r="B42" s="56" t="s">
        <v>54</v>
      </c>
      <c r="C42" s="57">
        <v>9000</v>
      </c>
      <c r="D42" s="57">
        <v>25446</v>
      </c>
      <c r="E42" s="57">
        <f t="shared" si="2"/>
        <v>31146.260000000002</v>
      </c>
      <c r="F42" s="57">
        <v>341.26</v>
      </c>
      <c r="G42" s="57">
        <v>7000</v>
      </c>
      <c r="H42" s="57">
        <v>2500</v>
      </c>
      <c r="I42" s="57"/>
      <c r="J42" s="57">
        <f>17105+4200</f>
        <v>21305</v>
      </c>
      <c r="K42" s="57"/>
      <c r="L42" s="57"/>
      <c r="M42" s="57"/>
      <c r="N42" s="57"/>
      <c r="O42" s="57"/>
    </row>
    <row r="43" spans="1:15" ht="14.25" customHeight="1">
      <c r="A43" s="55">
        <v>3294</v>
      </c>
      <c r="B43" s="56" t="s">
        <v>55</v>
      </c>
      <c r="C43" s="57">
        <v>1200</v>
      </c>
      <c r="D43" s="57">
        <v>1200</v>
      </c>
      <c r="E43" s="57">
        <f t="shared" si="2"/>
        <v>1600</v>
      </c>
      <c r="F43" s="57">
        <v>100</v>
      </c>
      <c r="G43" s="57">
        <v>1500</v>
      </c>
      <c r="H43" s="57"/>
      <c r="I43" s="57"/>
      <c r="J43" s="57"/>
      <c r="K43" s="57"/>
      <c r="L43" s="57"/>
      <c r="M43" s="57"/>
      <c r="N43" s="57"/>
      <c r="O43" s="57"/>
    </row>
    <row r="44" spans="1:15" ht="14.25" customHeight="1">
      <c r="A44" s="55">
        <v>3295</v>
      </c>
      <c r="B44" s="56" t="s">
        <v>56</v>
      </c>
      <c r="C44" s="57">
        <v>22464</v>
      </c>
      <c r="D44" s="57">
        <v>30984</v>
      </c>
      <c r="E44" s="57">
        <f t="shared" si="2"/>
        <v>31373.2</v>
      </c>
      <c r="F44" s="57"/>
      <c r="G44" s="57"/>
      <c r="H44" s="57">
        <v>1000</v>
      </c>
      <c r="I44" s="57"/>
      <c r="J44" s="57">
        <v>30373.2</v>
      </c>
      <c r="K44" s="57"/>
      <c r="L44" s="57"/>
      <c r="M44" s="57"/>
      <c r="N44" s="57"/>
      <c r="O44" s="57"/>
    </row>
    <row r="45" spans="1:15" ht="14.25" customHeight="1">
      <c r="A45" s="55">
        <v>3299</v>
      </c>
      <c r="B45" s="56" t="s">
        <v>57</v>
      </c>
      <c r="C45" s="57">
        <v>36500</v>
      </c>
      <c r="D45" s="57">
        <v>20692</v>
      </c>
      <c r="E45" s="57">
        <f t="shared" si="2"/>
        <v>23906.09</v>
      </c>
      <c r="F45" s="57">
        <v>5314.47</v>
      </c>
      <c r="G45" s="57">
        <f>6000+400</f>
        <v>6400</v>
      </c>
      <c r="H45" s="57">
        <v>1500</v>
      </c>
      <c r="I45" s="57"/>
      <c r="J45" s="57">
        <f>500+3191.62+7000</f>
        <v>10691.619999999999</v>
      </c>
      <c r="K45" s="57"/>
      <c r="L45" s="57"/>
      <c r="M45" s="57"/>
      <c r="N45" s="57"/>
      <c r="O45" s="57"/>
    </row>
    <row r="46" spans="1:15" ht="14.25" customHeight="1" hidden="1">
      <c r="A46" s="55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</row>
    <row r="47" spans="1:15" ht="14.25" customHeight="1" hidden="1">
      <c r="A47" s="55"/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</row>
    <row r="48" spans="1:17" ht="14.25" customHeight="1">
      <c r="A48" s="55"/>
      <c r="B48" s="56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38">
        <v>0</v>
      </c>
      <c r="Q48" s="38">
        <v>0</v>
      </c>
    </row>
    <row r="49" spans="1:17" ht="14.25" customHeight="1">
      <c r="A49" s="60">
        <v>34</v>
      </c>
      <c r="B49" s="75" t="s">
        <v>58</v>
      </c>
      <c r="C49" s="61">
        <v>9400</v>
      </c>
      <c r="D49" s="61">
        <v>10980</v>
      </c>
      <c r="E49" s="61">
        <f>SUM(F49:M49)</f>
        <v>10780</v>
      </c>
      <c r="F49" s="61">
        <f>SUM(F50:F52)</f>
        <v>80</v>
      </c>
      <c r="G49" s="61">
        <f aca="true" t="shared" si="3" ref="G49:M49">SUM(G50:G52)</f>
        <v>7500</v>
      </c>
      <c r="H49" s="61">
        <f t="shared" si="3"/>
        <v>3200</v>
      </c>
      <c r="I49" s="61">
        <f t="shared" si="3"/>
        <v>0</v>
      </c>
      <c r="J49" s="61">
        <f t="shared" si="3"/>
        <v>0</v>
      </c>
      <c r="K49" s="61">
        <f t="shared" si="3"/>
        <v>0</v>
      </c>
      <c r="L49" s="61">
        <f t="shared" si="3"/>
        <v>0</v>
      </c>
      <c r="M49" s="61">
        <f t="shared" si="3"/>
        <v>0</v>
      </c>
      <c r="N49" s="61">
        <v>10200</v>
      </c>
      <c r="O49" s="61">
        <v>10200</v>
      </c>
      <c r="P49" s="38">
        <v>0</v>
      </c>
      <c r="Q49" s="38">
        <v>0</v>
      </c>
    </row>
    <row r="50" spans="1:17" ht="14.25" customHeight="1">
      <c r="A50" s="55">
        <v>3431</v>
      </c>
      <c r="B50" s="56" t="s">
        <v>59</v>
      </c>
      <c r="C50" s="57">
        <v>5200</v>
      </c>
      <c r="D50" s="57">
        <v>5280</v>
      </c>
      <c r="E50" s="57">
        <f>SUM(F50:M50)</f>
        <v>6580</v>
      </c>
      <c r="F50" s="57">
        <v>80</v>
      </c>
      <c r="G50" s="57">
        <v>5500</v>
      </c>
      <c r="H50" s="57">
        <v>1000</v>
      </c>
      <c r="I50" s="57"/>
      <c r="J50" s="57"/>
      <c r="K50" s="57"/>
      <c r="L50" s="57"/>
      <c r="M50" s="57"/>
      <c r="N50" s="57"/>
      <c r="O50" s="57"/>
      <c r="P50" s="38">
        <v>0</v>
      </c>
      <c r="Q50" s="38">
        <v>0</v>
      </c>
    </row>
    <row r="51" spans="1:15" ht="14.25" customHeight="1">
      <c r="A51" s="55">
        <v>3432</v>
      </c>
      <c r="B51" s="56" t="s">
        <v>99</v>
      </c>
      <c r="C51" s="57">
        <v>2000</v>
      </c>
      <c r="D51" s="57">
        <v>3000</v>
      </c>
      <c r="E51" s="57">
        <f>SUM(F51:M51)</f>
        <v>2000</v>
      </c>
      <c r="F51" s="57"/>
      <c r="G51" s="57"/>
      <c r="H51" s="57">
        <v>2000</v>
      </c>
      <c r="I51" s="57"/>
      <c r="J51" s="57"/>
      <c r="K51" s="57"/>
      <c r="L51" s="57"/>
      <c r="M51" s="57"/>
      <c r="N51" s="57"/>
      <c r="O51" s="57"/>
    </row>
    <row r="52" spans="1:17" ht="14.25" customHeight="1">
      <c r="A52" s="55">
        <v>3433</v>
      </c>
      <c r="B52" s="56" t="s">
        <v>60</v>
      </c>
      <c r="C52" s="57">
        <v>2200</v>
      </c>
      <c r="D52" s="57">
        <v>2700</v>
      </c>
      <c r="E52" s="57">
        <f>SUM(F52:M52)</f>
        <v>2200</v>
      </c>
      <c r="F52" s="57"/>
      <c r="G52" s="57">
        <v>2000</v>
      </c>
      <c r="H52" s="57">
        <v>200</v>
      </c>
      <c r="I52" s="57"/>
      <c r="J52" s="57"/>
      <c r="K52" s="57"/>
      <c r="L52" s="57"/>
      <c r="M52" s="57"/>
      <c r="N52" s="57"/>
      <c r="O52" s="57"/>
      <c r="P52" s="38">
        <v>0</v>
      </c>
      <c r="Q52" s="38">
        <v>0</v>
      </c>
    </row>
    <row r="53" spans="1:15" ht="14.25" customHeight="1" hidden="1">
      <c r="A53" s="55"/>
      <c r="B53" s="56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</row>
    <row r="54" spans="1:15" ht="14.25" customHeight="1">
      <c r="A54" s="55"/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</row>
    <row r="55" spans="1:15" ht="14.25" customHeight="1">
      <c r="A55" s="60">
        <v>36</v>
      </c>
      <c r="B55" s="62" t="s">
        <v>128</v>
      </c>
      <c r="C55" s="57"/>
      <c r="D55" s="57"/>
      <c r="E55" s="61">
        <f>SUM(F55:M55)</f>
        <v>59932.229999999996</v>
      </c>
      <c r="F55" s="61"/>
      <c r="G55" s="61"/>
      <c r="H55" s="61"/>
      <c r="I55" s="61"/>
      <c r="J55" s="61">
        <f>SUM(J57+J56)</f>
        <v>59932.229999999996</v>
      </c>
      <c r="K55" s="61"/>
      <c r="L55" s="61"/>
      <c r="M55" s="61"/>
      <c r="N55" s="57"/>
      <c r="O55" s="57"/>
    </row>
    <row r="56" spans="1:15" ht="14.25" customHeight="1">
      <c r="A56" s="55">
        <v>3681</v>
      </c>
      <c r="B56" s="56" t="s">
        <v>127</v>
      </c>
      <c r="C56" s="57"/>
      <c r="D56" s="57"/>
      <c r="E56" s="57">
        <f>SUM(F56:M56)</f>
        <v>37294.78</v>
      </c>
      <c r="F56" s="57"/>
      <c r="G56" s="57"/>
      <c r="H56" s="57"/>
      <c r="I56" s="57"/>
      <c r="J56" s="57">
        <f>9676.1+1200+1200+1200+600+2500+9000+3633.3+8285.38</f>
        <v>37294.78</v>
      </c>
      <c r="K56" s="57"/>
      <c r="L56" s="57"/>
      <c r="M56" s="57"/>
      <c r="N56" s="57"/>
      <c r="O56" s="57"/>
    </row>
    <row r="57" spans="1:15" ht="14.25" customHeight="1">
      <c r="A57" s="55">
        <v>3693</v>
      </c>
      <c r="B57" s="56" t="s">
        <v>129</v>
      </c>
      <c r="C57" s="57"/>
      <c r="D57" s="57"/>
      <c r="E57" s="57">
        <f>SUM(F57:M57)</f>
        <v>22637.45</v>
      </c>
      <c r="F57" s="57"/>
      <c r="G57" s="57"/>
      <c r="H57" s="57"/>
      <c r="I57" s="57"/>
      <c r="J57" s="57">
        <f>3600+2000+2500+4000+1944.8+4631+3961.65</f>
        <v>22637.45</v>
      </c>
      <c r="K57" s="57"/>
      <c r="L57" s="57"/>
      <c r="M57" s="57"/>
      <c r="N57" s="57"/>
      <c r="O57" s="57"/>
    </row>
    <row r="58" spans="1:15" ht="14.25" customHeight="1">
      <c r="A58" s="55"/>
      <c r="B58" s="56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</row>
    <row r="59" spans="1:17" ht="14.25" customHeight="1">
      <c r="A59" s="55"/>
      <c r="B59" s="56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38">
        <v>0</v>
      </c>
      <c r="Q59" s="38">
        <v>0</v>
      </c>
    </row>
    <row r="60" spans="1:17" ht="14.25" customHeight="1">
      <c r="A60" s="60">
        <v>42</v>
      </c>
      <c r="B60" s="62" t="s">
        <v>61</v>
      </c>
      <c r="C60" s="61">
        <v>104000</v>
      </c>
      <c r="D60" s="61">
        <v>106000</v>
      </c>
      <c r="E60" s="61">
        <f aca="true" t="shared" si="4" ref="E60:E69">SUM(F60:M60)</f>
        <v>185775</v>
      </c>
      <c r="F60" s="61">
        <f>SUM(F61:F66)</f>
        <v>15000</v>
      </c>
      <c r="G60" s="61">
        <f>SUM(G61:G66)</f>
        <v>62000</v>
      </c>
      <c r="H60" s="61">
        <f>SUM(H61:H66)</f>
        <v>40000</v>
      </c>
      <c r="I60" s="61">
        <f>SUM(I61:I69)</f>
        <v>0</v>
      </c>
      <c r="J60" s="61">
        <f>SUM(J61:J69)</f>
        <v>68775</v>
      </c>
      <c r="K60" s="61">
        <f>SUM(K61:K69)</f>
        <v>0</v>
      </c>
      <c r="L60" s="61">
        <f>SUM(L61:L69)</f>
        <v>0</v>
      </c>
      <c r="M60" s="61">
        <f>SUM(M61:M69)</f>
        <v>0</v>
      </c>
      <c r="N60" s="61">
        <v>104000</v>
      </c>
      <c r="O60" s="61">
        <v>104000</v>
      </c>
      <c r="P60" s="38">
        <v>0</v>
      </c>
      <c r="Q60" s="38">
        <v>0</v>
      </c>
    </row>
    <row r="61" spans="1:17" ht="14.25" customHeight="1">
      <c r="A61" s="55">
        <v>4221</v>
      </c>
      <c r="B61" s="58" t="s">
        <v>62</v>
      </c>
      <c r="C61" s="57">
        <v>30000</v>
      </c>
      <c r="D61" s="57">
        <v>46000</v>
      </c>
      <c r="E61" s="57">
        <f t="shared" si="4"/>
        <v>123775</v>
      </c>
      <c r="F61" s="57">
        <f>11871.75+3128.25</f>
        <v>15000</v>
      </c>
      <c r="G61" s="57">
        <v>20000</v>
      </c>
      <c r="H61" s="57">
        <v>35000</v>
      </c>
      <c r="I61" s="57"/>
      <c r="J61" s="57">
        <v>53775</v>
      </c>
      <c r="K61" s="57"/>
      <c r="L61" s="57"/>
      <c r="M61" s="57"/>
      <c r="N61" s="57"/>
      <c r="O61" s="57"/>
      <c r="P61" s="38">
        <v>0</v>
      </c>
      <c r="Q61" s="38">
        <v>0</v>
      </c>
    </row>
    <row r="62" spans="1:15" ht="14.25" customHeight="1">
      <c r="A62" s="55">
        <v>4222</v>
      </c>
      <c r="B62" s="58" t="s">
        <v>89</v>
      </c>
      <c r="C62" s="57">
        <v>0</v>
      </c>
      <c r="D62" s="57">
        <v>1000</v>
      </c>
      <c r="E62" s="57">
        <f t="shared" si="4"/>
        <v>1000</v>
      </c>
      <c r="F62" s="57"/>
      <c r="G62" s="57"/>
      <c r="H62" s="57">
        <v>1000</v>
      </c>
      <c r="I62" s="57"/>
      <c r="J62" s="57"/>
      <c r="K62" s="57"/>
      <c r="L62" s="57"/>
      <c r="M62" s="57"/>
      <c r="N62" s="57"/>
      <c r="O62" s="57"/>
    </row>
    <row r="63" spans="1:15" ht="14.25" customHeight="1">
      <c r="A63" s="55">
        <v>4223</v>
      </c>
      <c r="B63" s="58" t="s">
        <v>68</v>
      </c>
      <c r="C63" s="57">
        <v>40000</v>
      </c>
      <c r="D63" s="57">
        <v>30000</v>
      </c>
      <c r="E63" s="57">
        <f t="shared" si="4"/>
        <v>30000</v>
      </c>
      <c r="F63" s="57"/>
      <c r="G63" s="57">
        <v>30000</v>
      </c>
      <c r="H63" s="57"/>
      <c r="I63" s="57"/>
      <c r="J63" s="57"/>
      <c r="K63" s="57"/>
      <c r="L63" s="57"/>
      <c r="M63" s="57"/>
      <c r="N63" s="57"/>
      <c r="O63" s="57"/>
    </row>
    <row r="64" spans="1:15" ht="14.25" customHeight="1">
      <c r="A64" s="55">
        <v>4226</v>
      </c>
      <c r="B64" s="58" t="s">
        <v>90</v>
      </c>
      <c r="C64" s="57">
        <v>20000</v>
      </c>
      <c r="D64" s="57">
        <v>20000</v>
      </c>
      <c r="E64" s="57">
        <f t="shared" si="4"/>
        <v>11000</v>
      </c>
      <c r="F64" s="57"/>
      <c r="G64" s="57">
        <v>10000</v>
      </c>
      <c r="H64" s="57">
        <v>1000</v>
      </c>
      <c r="I64" s="57"/>
      <c r="J64" s="57"/>
      <c r="K64" s="57"/>
      <c r="L64" s="57"/>
      <c r="M64" s="57"/>
      <c r="N64" s="57"/>
      <c r="O64" s="57"/>
    </row>
    <row r="65" spans="1:15" ht="27.75" customHeight="1">
      <c r="A65" s="55">
        <v>4227</v>
      </c>
      <c r="B65" s="77" t="s">
        <v>66</v>
      </c>
      <c r="C65" s="57">
        <v>10000</v>
      </c>
      <c r="D65" s="57">
        <v>5000</v>
      </c>
      <c r="E65" s="57">
        <f t="shared" si="4"/>
        <v>3000</v>
      </c>
      <c r="F65" s="57"/>
      <c r="G65" s="57"/>
      <c r="H65" s="57">
        <v>3000</v>
      </c>
      <c r="I65" s="57"/>
      <c r="J65" s="57"/>
      <c r="K65" s="57"/>
      <c r="L65" s="57"/>
      <c r="M65" s="57"/>
      <c r="N65" s="57"/>
      <c r="O65" s="57"/>
    </row>
    <row r="66" spans="1:15" ht="14.25" customHeight="1">
      <c r="A66" s="55">
        <v>4241</v>
      </c>
      <c r="B66" s="58" t="s">
        <v>65</v>
      </c>
      <c r="C66" s="57">
        <v>4000</v>
      </c>
      <c r="D66" s="57">
        <v>4000</v>
      </c>
      <c r="E66" s="57">
        <f t="shared" si="4"/>
        <v>17000</v>
      </c>
      <c r="F66" s="57"/>
      <c r="G66" s="57">
        <v>2000</v>
      </c>
      <c r="H66" s="57"/>
      <c r="I66" s="57"/>
      <c r="J66" s="57">
        <v>15000</v>
      </c>
      <c r="K66" s="57"/>
      <c r="L66" s="57"/>
      <c r="M66" s="57"/>
      <c r="N66" s="57"/>
      <c r="O66" s="57"/>
    </row>
    <row r="67" spans="1:15" ht="14.25" customHeight="1">
      <c r="A67" s="60">
        <v>45</v>
      </c>
      <c r="B67" s="75" t="s">
        <v>91</v>
      </c>
      <c r="C67" s="61">
        <v>400000</v>
      </c>
      <c r="D67" s="61">
        <v>402422</v>
      </c>
      <c r="E67" s="61">
        <f t="shared" si="4"/>
        <v>350000</v>
      </c>
      <c r="F67" s="61">
        <f>SUM(F68:F69)</f>
        <v>0</v>
      </c>
      <c r="G67" s="61">
        <f>SUM(G68:G69)</f>
        <v>350000</v>
      </c>
      <c r="H67" s="57"/>
      <c r="I67" s="57"/>
      <c r="J67" s="57"/>
      <c r="K67" s="57"/>
      <c r="L67" s="57"/>
      <c r="M67" s="57"/>
      <c r="N67" s="61">
        <v>400000</v>
      </c>
      <c r="O67" s="61">
        <v>400000</v>
      </c>
    </row>
    <row r="68" spans="1:15" ht="14.25" customHeight="1">
      <c r="A68" s="55">
        <v>4511</v>
      </c>
      <c r="B68" s="58" t="s">
        <v>63</v>
      </c>
      <c r="C68" s="57">
        <v>400000</v>
      </c>
      <c r="D68" s="57">
        <v>352422</v>
      </c>
      <c r="E68" s="57">
        <f t="shared" si="4"/>
        <v>284850</v>
      </c>
      <c r="F68" s="57"/>
      <c r="G68" s="57">
        <v>284850</v>
      </c>
      <c r="H68" s="57"/>
      <c r="I68" s="57"/>
      <c r="J68" s="57"/>
      <c r="K68" s="57"/>
      <c r="L68" s="57"/>
      <c r="M68" s="57"/>
      <c r="N68" s="57"/>
      <c r="O68" s="57"/>
    </row>
    <row r="69" spans="1:15" ht="14.25" customHeight="1">
      <c r="A69" s="63">
        <v>4521</v>
      </c>
      <c r="B69" s="64" t="s">
        <v>120</v>
      </c>
      <c r="C69" s="65"/>
      <c r="D69" s="57">
        <v>50000</v>
      </c>
      <c r="E69" s="57">
        <f t="shared" si="4"/>
        <v>65150</v>
      </c>
      <c r="F69" s="65"/>
      <c r="G69" s="65">
        <v>65150</v>
      </c>
      <c r="H69" s="65"/>
      <c r="I69" s="65"/>
      <c r="J69" s="65"/>
      <c r="K69" s="65"/>
      <c r="L69" s="65"/>
      <c r="M69" s="65"/>
      <c r="N69" s="65"/>
      <c r="O69" s="65"/>
    </row>
    <row r="70" spans="1:17" ht="14.25" customHeight="1">
      <c r="A70" s="66"/>
      <c r="B70" s="35" t="s">
        <v>11</v>
      </c>
      <c r="C70" s="67">
        <f>SUM(C14:C17)+SUM(C21:C45)+SUM(C50:C52)+SUM(C61:C66)+C68</f>
        <v>13570071</v>
      </c>
      <c r="D70" s="67">
        <v>14112364</v>
      </c>
      <c r="E70" s="67">
        <f>SUM(E14:E17)+SUM(E21:E45)+SUM(E50:E52)+SUM(E61:E66)+E68+E69+SUM(E56:E57)</f>
        <v>14576116.450000001</v>
      </c>
      <c r="F70" s="67">
        <f>SUM(F14:F17)+SUM(F21:F45)+SUM(F50:F52)+SUM(F61:F66)+F67</f>
        <v>58920.14000000001</v>
      </c>
      <c r="G70" s="67">
        <f>SUM(G14:G17)+SUM(G21:G45)+SUM(G50:G52)+SUM(G61:G66)+G67</f>
        <v>2239137.73</v>
      </c>
      <c r="H70" s="67">
        <f aca="true" t="shared" si="5" ref="H70:M70">SUM(H14:H17)+SUM(H21:H45)+SUM(H50:H52)+SUM(H61:H68)</f>
        <v>71200</v>
      </c>
      <c r="I70" s="67">
        <f t="shared" si="5"/>
        <v>503000</v>
      </c>
      <c r="J70" s="67">
        <f>SUM(J14:J17)+SUM(J21:J45)+SUM(J50:J52)+SUM(J61:J68)+SUM(J56:J57)</f>
        <v>11698158.58</v>
      </c>
      <c r="K70" s="67">
        <f t="shared" si="5"/>
        <v>5700</v>
      </c>
      <c r="L70" s="67">
        <f t="shared" si="5"/>
        <v>0</v>
      </c>
      <c r="M70" s="67">
        <f t="shared" si="5"/>
        <v>0</v>
      </c>
      <c r="N70" s="67">
        <f>SUM(N12+N20+N49+N60+N67)</f>
        <v>13120671</v>
      </c>
      <c r="O70" s="67">
        <f>SUM(O12+O20+O49+O60+O67)</f>
        <v>13120671</v>
      </c>
      <c r="P70" s="38">
        <v>0</v>
      </c>
      <c r="Q70" s="38">
        <v>0</v>
      </c>
    </row>
    <row r="71" spans="1:17" ht="14.25" customHeight="1">
      <c r="A71" s="68"/>
      <c r="B71" s="69" t="s">
        <v>12</v>
      </c>
      <c r="C71" s="67">
        <f>SUM(C12+C20+C49+C60+C67)</f>
        <v>13570071</v>
      </c>
      <c r="D71" s="67">
        <v>14112364</v>
      </c>
      <c r="E71" s="67">
        <f>SUM(E12+E20+E49+E60+E67+E55)</f>
        <v>14576116.450000001</v>
      </c>
      <c r="F71" s="67">
        <f>SUM(F12+F20+F49+F60+F67)</f>
        <v>58920.14000000001</v>
      </c>
      <c r="G71" s="67">
        <f>SUM(G12+G20+G49+G60+G67)</f>
        <v>2239137.73</v>
      </c>
      <c r="H71" s="67">
        <f aca="true" t="shared" si="6" ref="H71:M71">SUM(H12+H20+H49+H60)</f>
        <v>71200</v>
      </c>
      <c r="I71" s="67">
        <f t="shared" si="6"/>
        <v>503000</v>
      </c>
      <c r="J71" s="67">
        <f>SUM(J12+J20+J49+J60+J55)</f>
        <v>11698158.58</v>
      </c>
      <c r="K71" s="67">
        <f t="shared" si="6"/>
        <v>5700</v>
      </c>
      <c r="L71" s="67">
        <f t="shared" si="6"/>
        <v>0</v>
      </c>
      <c r="M71" s="67">
        <f t="shared" si="6"/>
        <v>0</v>
      </c>
      <c r="N71" s="67">
        <f>N12+N20+N49+N60+N67</f>
        <v>13120671</v>
      </c>
      <c r="O71" s="67">
        <f>O12+O20+O49+O60+O67</f>
        <v>13120671</v>
      </c>
      <c r="P71" s="38">
        <v>0</v>
      </c>
      <c r="Q71" s="38">
        <v>0</v>
      </c>
    </row>
  </sheetData>
  <sheetProtection/>
  <mergeCells count="1">
    <mergeCell ref="A1:M1"/>
  </mergeCells>
  <printOptions/>
  <pageMargins left="0.1968503937007874" right="0.1968503937007874" top="0" bottom="0" header="0.7086614173228347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Nina</cp:lastModifiedBy>
  <cp:lastPrinted>2017-07-12T11:33:40Z</cp:lastPrinted>
  <dcterms:created xsi:type="dcterms:W3CDTF">1996-10-14T23:33:28Z</dcterms:created>
  <dcterms:modified xsi:type="dcterms:W3CDTF">2017-07-26T10:03:42Z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