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35" tabRatio="777" activeTab="3"/>
  </bookViews>
  <sheets>
    <sheet name="OPĆI DIO-2019" sheetId="1" r:id="rId1"/>
    <sheet name="FP PiP 1-2019" sheetId="2" r:id="rId2"/>
    <sheet name="FP PiP 2-2020-21" sheetId="3" r:id="rId3"/>
    <sheet name="FP Ril-2019-20-21" sheetId="4" r:id="rId4"/>
  </sheets>
  <definedNames>
    <definedName name="_xlnm.Print_Titles" localSheetId="3">'FP Ril-2019-20-21'!$4:$5</definedName>
    <definedName name="_xlnm.Print_Area" localSheetId="1">'FP PiP 1-2019'!$A$1:$I$41</definedName>
  </definedNames>
  <calcPr fullCalcOnLoad="1"/>
</workbook>
</file>

<file path=xl/sharedStrings.xml><?xml version="1.0" encoding="utf-8"?>
<sst xmlns="http://schemas.openxmlformats.org/spreadsheetml/2006/main" count="187" uniqueCount="146">
  <si>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</si>
  <si>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</si>
  <si>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</si>
  <si>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</si>
  <si>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</si>
  <si>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</si>
  <si>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</si>
  <si>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</si>
  <si>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</si>
  <si>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</si>
  <si>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</si>
  <si>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</si>
  <si>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</si>
  <si>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</si>
  <si>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</si>
  <si>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</si>
  <si>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</si>
  <si>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</si>
  <si>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</si>
  <si>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</si>
  <si>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</si>
  <si>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6711-GRAD ZADAR</t>
  </si>
  <si>
    <t>6712-GRAD ZADAR</t>
  </si>
  <si>
    <t>6831-OSTALI PRIHODI</t>
  </si>
  <si>
    <t>(proračunski/izvanproračunski)       ZADAR, BRIBIRSKI PRILAZ 2.</t>
  </si>
  <si>
    <t xml:space="preserve">Korisnik proračuna              OSNOVNA ŠKOLA BARTULA KAŠIĆA </t>
  </si>
  <si>
    <t>RASHODI ZA ZAPOSLENE</t>
  </si>
  <si>
    <t>PLAĆE (BRUTO)</t>
  </si>
  <si>
    <t>Plaće za redovan rad</t>
  </si>
  <si>
    <t>Ostali rashodi za zaposlene</t>
  </si>
  <si>
    <t>Doprin.za zdrav.osiguranje</t>
  </si>
  <si>
    <t>Dopr.za obv.osig.u sl.nezap.</t>
  </si>
  <si>
    <t>MATERIJALNI RASHODI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</si>
  <si>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</si>
  <si>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</si>
  <si>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</si>
  <si>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</si>
  <si>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</si>
  <si>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</si>
  <si>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</si>
  <si>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</si>
  <si>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</si>
  <si>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</si>
  <si>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</si>
  <si>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</si>
  <si>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</si>
  <si>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</si>
  <si>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</si>
  <si>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</si>
  <si>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</si>
  <si>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</si>
  <si>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</si>
  <si>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</si>
  <si>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</si>
  <si>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Reprezentacija</t>
  </si>
  <si>
    <t>Članarine</t>
  </si>
  <si>
    <t>Pristojbe i naknade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</si>
  <si>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</si>
  <si>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</si>
  <si>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</si>
  <si>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</si>
  <si>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</si>
  <si>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</si>
  <si>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Dodat.ulag.na građev.objekt.</t>
  </si>
  <si>
    <t>Knjige u knjižnici</t>
  </si>
  <si>
    <t>Uređaji, strojevi i oprema za ostale namjene</t>
  </si>
  <si>
    <t>6526-UPL.UČEN.ZA MARENDE PB</t>
  </si>
  <si>
    <t>Oprema za održavanje i zaštitu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</si>
  <si>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</si>
  <si>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</si>
  <si>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</si>
  <si>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</si>
  <si>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</si>
  <si>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</si>
  <si>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</si>
  <si>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</si>
  <si>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</si>
  <si>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</si>
  <si>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</si>
  <si>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</si>
  <si>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</si>
  <si>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</si>
  <si>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Prihodi od prodaje nefinancijske imovine i nadoknade šteta s osnova osiguranja</t>
  </si>
  <si>
    <t>Prihodi od nefinancijske imovine i nadoknade šteta s osnova osiguranja</t>
  </si>
  <si>
    <t xml:space="preserve">6615-NAJAM </t>
  </si>
  <si>
    <t>Komunikacijska oprema</t>
  </si>
  <si>
    <t>Sportska i glazbena oprema</t>
  </si>
  <si>
    <t>DODATNA ULAGANJA</t>
  </si>
  <si>
    <t>6413 - PRIPIS KAMATE</t>
  </si>
  <si>
    <t>6526-UPL.UČEN.ZA ŠTETE</t>
  </si>
  <si>
    <t>6614-VLASTITI PRIHODI UZ MARAŠKA</t>
  </si>
  <si>
    <t>6631-DRUŠTVO PED.TEH.KULTURE</t>
  </si>
  <si>
    <t>6631-HŠŠS NATJECANJA</t>
  </si>
  <si>
    <t>Negativne teč. razlike</t>
  </si>
  <si>
    <t>6341-HZZ stručno us. bez zasnivanja ro</t>
  </si>
  <si>
    <t>2019.</t>
  </si>
  <si>
    <t xml:space="preserve">Naziv </t>
  </si>
  <si>
    <t>RASHODI POSLOVANJA</t>
  </si>
  <si>
    <t>6361-MZOŠ - projekti, mentorstva, ostalo</t>
  </si>
  <si>
    <t>6361-AGENC.ZA ODG.I OBRAZ.</t>
  </si>
  <si>
    <t>6361-ZD ŽUPANIJA NATJECANJA</t>
  </si>
  <si>
    <t>6415 -PRIHODI OD POZ.TEČ.RAZLIKA</t>
  </si>
  <si>
    <t>Opći prihodi i primici GRAD ZADAR</t>
  </si>
  <si>
    <t>Dodat.ulag.na postr. i opremi</t>
  </si>
  <si>
    <t>Tek. pom. tem. prij. EU sred.</t>
  </si>
  <si>
    <t>POM. DANE U INOZ. I UNUTAR OPĆEG PRORAČUNA</t>
  </si>
  <si>
    <t>Tek. prij. između pror. korisnika istog proračuna tem. prij. EU sredstava</t>
  </si>
  <si>
    <t>VIŠAK/MANJAK IZ PRETHODNE(IH) GODINE KOJI ĆE SE POKRITI/RASPOREDITI</t>
  </si>
  <si>
    <t>UKUPAN DONOS VIŠKA/MANJKA IZ PRETHODNE(IH) GODINA*</t>
  </si>
  <si>
    <t>*Napomena: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</si>
  <si>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</si>
  <si>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PROJEKCIJA PLANA ZA
2020.</t>
  </si>
  <si>
    <t>6631-DON PRAVNIH I FIZ OSOBA</t>
  </si>
  <si>
    <t>6361-MZO - projekti, mentorstva, ostalo</t>
  </si>
  <si>
    <t>6361-MZO - plaće, naknade</t>
  </si>
  <si>
    <t>Pomoći "ZadarZaDar"</t>
  </si>
  <si>
    <t xml:space="preserve">6381/2- PROJEKT "ZadarZaDar" </t>
  </si>
  <si>
    <t xml:space="preserve">6381/2- PROJEKT InovA@skola </t>
  </si>
  <si>
    <t>6526-UPL.UČEN.ZA ŠTETE, RAZNO</t>
  </si>
  <si>
    <t>6526-PROJEKT PREHRANE PREKO GZ</t>
  </si>
  <si>
    <t>6711-ŠHEMA VOĆA,MLIJEKA GZ</t>
  </si>
  <si>
    <t xml:space="preserve">Pomoći InovA@skola </t>
  </si>
  <si>
    <t>Materijal i sirovine</t>
  </si>
  <si>
    <t>NAKNADE GRAĐ I KUĆ NA TEM OSIG I DRUGE NAKNADE</t>
  </si>
  <si>
    <t>Naknade građ i kućanstvima u novcu</t>
  </si>
  <si>
    <t>6526-UPL OSIG ŠTETA BUS</t>
  </si>
  <si>
    <t>6361-AGENC.ZA ODG.I OBRAZ., NCVVO</t>
  </si>
  <si>
    <t>PRIJEDLOG FINANCIJSKOG PLANA OŠ BARTULA KAŠIĆA  ZA 2019. I PROJEKCIJA PLANA ZA  2020. I 2021. GODINU</t>
  </si>
  <si>
    <t>Plan za 2019.</t>
  </si>
  <si>
    <t>Projekcija plana
za 2020.</t>
  </si>
  <si>
    <t>Projekcija plana 
za 2021.</t>
  </si>
  <si>
    <t>PRIJEDLOG PLANA PRIHODA I PRIMITAKA</t>
  </si>
  <si>
    <t>Ukupno prihodi i primici za 2019.</t>
  </si>
  <si>
    <t>PRIJEDLOG PLANA PRIHODA I PRIMITAKA 2020. i  2021.</t>
  </si>
  <si>
    <t>Ukupno prihodi i primici za 2020. i 2021.</t>
  </si>
  <si>
    <t>2021.</t>
  </si>
  <si>
    <t>PRIJEDLOG PLANA RASHODA I IZDATAKA</t>
  </si>
  <si>
    <t>PLAN ZA 2019.</t>
  </si>
  <si>
    <t>PROJEKCIJA PLANA ZA
2021.</t>
  </si>
  <si>
    <t>6341-HZZ pripravnik</t>
  </si>
  <si>
    <t>6393 Tek prijenosi PMN EU</t>
  </si>
  <si>
    <t>6393 Tek prijenosi PROJEKT PREHRANE</t>
  </si>
  <si>
    <t>6393 TEK PRIJ PMN EU</t>
  </si>
  <si>
    <t>6394 TEK PRIJ PROJEKT PREH</t>
  </si>
  <si>
    <t>6415 PRIHODI OD POZ TEČ RAZLIKA</t>
  </si>
  <si>
    <t>6711 SHEMA VOĆA MLIJEKA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</si>
</sst>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.00\ &quot;kn&quot;"/>
    <numFmt numFmtId="166" formatCode="#,##0.0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4" xfId="0" applyFont="1" applyFill="1" applyBorder="1" applyAlignment="1">
      <alignment horizontal="center"/>
    </xf>
    <xf numFmtId="0" fontId="6" fillId="1" borderId="15" xfId="0" applyFont="1" applyFill="1" applyBorder="1" applyAlignment="1">
      <alignment horizontal="right" vertical="center" wrapText="1"/>
    </xf>
    <xf numFmtId="0" fontId="6" fillId="1" borderId="16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right"/>
    </xf>
    <xf numFmtId="0" fontId="4" fillId="1" borderId="14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right" vertical="center" wrapText="1"/>
    </xf>
    <xf numFmtId="0" fontId="4" fillId="1" borderId="16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6" fillId="0" borderId="25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26" xfId="0" applyNumberFormat="1" applyFont="1" applyBorder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quotePrefix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wrapText="1"/>
    </xf>
    <xf numFmtId="0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 quotePrefix="1">
      <alignment horizontal="center" wrapText="1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2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 quotePrefix="1">
      <alignment horizontal="left" vertical="center"/>
    </xf>
    <xf numFmtId="0" fontId="6" fillId="0" borderId="28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 quotePrefix="1">
      <alignment horizontal="center" vertical="center"/>
    </xf>
    <xf numFmtId="3" fontId="6" fillId="0" borderId="25" xfId="0" applyNumberFormat="1" applyFont="1" applyBorder="1" applyAlignment="1" quotePrefix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6" fillId="0" borderId="28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5" fillId="0" borderId="3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3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0" fillId="0" borderId="32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3" fontId="18" fillId="0" borderId="27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16" fillId="2" borderId="10" xfId="0" applyNumberFormat="1" applyFont="1" applyFill="1" applyBorder="1" applyAlignment="1" applyProtection="1">
      <alignment horizontal="center" wrapText="1"/>
      <protection/>
    </xf>
    <xf numFmtId="3" fontId="16" fillId="2" borderId="10" xfId="0" applyNumberFormat="1" applyFont="1" applyFill="1" applyBorder="1" applyAlignment="1" applyProtection="1">
      <alignment horizontal="right" wrapText="1"/>
      <protection/>
    </xf>
    <xf numFmtId="0" fontId="17" fillId="2" borderId="24" xfId="0" applyNumberFormat="1" applyFont="1" applyFill="1" applyBorder="1" applyAlignment="1" applyProtection="1">
      <alignment horizontal="center" wrapText="1"/>
      <protection/>
    </xf>
    <xf numFmtId="0" fontId="17" fillId="2" borderId="10" xfId="0" applyNumberFormat="1" applyFont="1" applyFill="1" applyBorder="1" applyAlignment="1" applyProtection="1">
      <alignment horizontal="center" vertical="center" wrapText="1"/>
      <protection/>
    </xf>
    <xf numFmtId="3" fontId="16" fillId="2" borderId="10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 wrapText="1"/>
    </xf>
    <xf numFmtId="3" fontId="67" fillId="0" borderId="0" xfId="0" applyNumberFormat="1" applyFont="1" applyAlignment="1">
      <alignment/>
    </xf>
    <xf numFmtId="3" fontId="68" fillId="0" borderId="0" xfId="0" applyNumberFormat="1" applyFont="1" applyFill="1" applyBorder="1" applyAlignment="1" quotePrefix="1">
      <alignment horizontal="left"/>
    </xf>
    <xf numFmtId="0" fontId="69" fillId="0" borderId="27" xfId="0" applyNumberFormat="1" applyFont="1" applyBorder="1" applyAlignment="1">
      <alignment horizontal="center" wrapText="1"/>
    </xf>
    <xf numFmtId="0" fontId="69" fillId="0" borderId="27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 vertical="center" wrapText="1"/>
    </xf>
    <xf numFmtId="3" fontId="67" fillId="0" borderId="28" xfId="0" applyNumberFormat="1" applyFont="1" applyBorder="1" applyAlignment="1">
      <alignment vertical="center"/>
    </xf>
    <xf numFmtId="3" fontId="67" fillId="0" borderId="0" xfId="0" applyNumberFormat="1" applyFont="1" applyAlignment="1">
      <alignment vertical="center"/>
    </xf>
    <xf numFmtId="3" fontId="70" fillId="0" borderId="36" xfId="0" applyNumberFormat="1" applyFont="1" applyBorder="1" applyAlignment="1">
      <alignment horizontal="right" vertical="center"/>
    </xf>
    <xf numFmtId="3" fontId="70" fillId="0" borderId="10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center" wrapText="1"/>
    </xf>
    <xf numFmtId="3" fontId="71" fillId="0" borderId="0" xfId="0" applyNumberFormat="1" applyFont="1" applyAlignment="1">
      <alignment/>
    </xf>
    <xf numFmtId="3" fontId="72" fillId="0" borderId="0" xfId="0" applyNumberFormat="1" applyFont="1" applyFill="1" applyBorder="1" applyAlignment="1" quotePrefix="1">
      <alignment horizontal="left"/>
    </xf>
    <xf numFmtId="0" fontId="73" fillId="0" borderId="27" xfId="0" applyNumberFormat="1" applyFont="1" applyBorder="1" applyAlignment="1">
      <alignment horizontal="center" wrapText="1"/>
    </xf>
    <xf numFmtId="0" fontId="73" fillId="0" borderId="27" xfId="0" applyNumberFormat="1" applyFont="1" applyBorder="1" applyAlignment="1">
      <alignment horizontal="center"/>
    </xf>
    <xf numFmtId="3" fontId="73" fillId="0" borderId="0" xfId="0" applyNumberFormat="1" applyFont="1" applyBorder="1" applyAlignment="1">
      <alignment horizontal="center" vertical="center" wrapText="1"/>
    </xf>
    <xf numFmtId="3" fontId="73" fillId="0" borderId="0" xfId="0" applyNumberFormat="1" applyFont="1" applyAlignment="1">
      <alignment vertical="center"/>
    </xf>
    <xf numFmtId="3" fontId="71" fillId="0" borderId="28" xfId="0" applyNumberFormat="1" applyFont="1" applyBorder="1" applyAlignment="1">
      <alignment vertical="center"/>
    </xf>
    <xf numFmtId="3" fontId="73" fillId="0" borderId="28" xfId="0" applyNumberFormat="1" applyFont="1" applyBorder="1" applyAlignment="1">
      <alignment vertical="center"/>
    </xf>
    <xf numFmtId="3" fontId="71" fillId="0" borderId="0" xfId="0" applyNumberFormat="1" applyFont="1" applyAlignment="1">
      <alignment vertical="center"/>
    </xf>
    <xf numFmtId="3" fontId="73" fillId="0" borderId="2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NumberFormat="1" applyFont="1" applyBorder="1" applyAlignment="1">
      <alignment horizontal="center"/>
    </xf>
    <xf numFmtId="0" fontId="73" fillId="0" borderId="20" xfId="0" applyNumberFormat="1" applyFont="1" applyBorder="1" applyAlignment="1">
      <alignment horizontal="center"/>
    </xf>
    <xf numFmtId="3" fontId="73" fillId="0" borderId="25" xfId="0" applyNumberFormat="1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3" fontId="17" fillId="2" borderId="24" xfId="0" applyNumberFormat="1" applyFont="1" applyFill="1" applyBorder="1" applyAlignment="1">
      <alignment horizontal="center"/>
    </xf>
    <xf numFmtId="3" fontId="17" fillId="2" borderId="10" xfId="0" applyNumberFormat="1" applyFont="1" applyFill="1" applyBorder="1" applyAlignment="1" applyProtection="1">
      <alignment horizontal="center" wrapText="1"/>
      <protection/>
    </xf>
    <xf numFmtId="3" fontId="71" fillId="0" borderId="26" xfId="0" applyNumberFormat="1" applyFont="1" applyBorder="1" applyAlignment="1">
      <alignment wrapText="1"/>
    </xf>
    <xf numFmtId="3" fontId="71" fillId="0" borderId="0" xfId="0" applyNumberFormat="1" applyFont="1" applyAlignment="1">
      <alignment wrapText="1"/>
    </xf>
    <xf numFmtId="3" fontId="72" fillId="0" borderId="0" xfId="0" applyNumberFormat="1" applyFont="1" applyFill="1" applyBorder="1" applyAlignment="1" quotePrefix="1">
      <alignment horizontal="left" wrapText="1"/>
    </xf>
    <xf numFmtId="3" fontId="70" fillId="0" borderId="10" xfId="0" applyNumberFormat="1" applyFont="1" applyBorder="1" applyAlignment="1">
      <alignment horizontal="right"/>
    </xf>
    <xf numFmtId="3" fontId="70" fillId="0" borderId="10" xfId="0" applyNumberFormat="1" applyFont="1" applyBorder="1" applyAlignment="1">
      <alignment/>
    </xf>
    <xf numFmtId="3" fontId="70" fillId="0" borderId="10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 horizontal="center" vertical="center" wrapText="1"/>
    </xf>
    <xf numFmtId="3" fontId="74" fillId="0" borderId="25" xfId="0" applyNumberFormat="1" applyFont="1" applyFill="1" applyBorder="1" applyAlignment="1">
      <alignment horizontal="center" vertical="center" wrapText="1"/>
    </xf>
    <xf numFmtId="3" fontId="70" fillId="0" borderId="38" xfId="0" applyNumberFormat="1" applyFont="1" applyBorder="1" applyAlignment="1">
      <alignment horizontal="right" vertical="center" wrapText="1"/>
    </xf>
    <xf numFmtId="3" fontId="70" fillId="0" borderId="34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/>
    </xf>
    <xf numFmtId="0" fontId="16" fillId="0" borderId="24" xfId="0" applyFont="1" applyBorder="1" applyAlignment="1" quotePrefix="1">
      <alignment horizontal="center" wrapText="1"/>
    </xf>
    <xf numFmtId="0" fontId="16" fillId="0" borderId="25" xfId="0" applyFont="1" applyBorder="1" applyAlignment="1" quotePrefix="1">
      <alignment horizontal="center" wrapText="1"/>
    </xf>
    <xf numFmtId="0" fontId="16" fillId="0" borderId="20" xfId="0" applyFont="1" applyBorder="1" applyAlignment="1" quotePrefix="1">
      <alignment horizontal="center" wrapText="1"/>
    </xf>
    <xf numFmtId="0" fontId="22" fillId="0" borderId="0" xfId="0" applyFont="1" applyAlignment="1">
      <alignment horizontal="left" wrapText="1"/>
    </xf>
    <xf numFmtId="0" fontId="16" fillId="0" borderId="25" xfId="0" applyFont="1" applyBorder="1" applyAlignment="1" quotePrefix="1">
      <alignment horizontal="center"/>
    </xf>
    <xf numFmtId="0" fontId="16" fillId="0" borderId="20" xfId="0" applyFont="1" applyBorder="1" applyAlignment="1" quotePrefix="1">
      <alignment horizontal="center"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wrapText="1"/>
      <protection/>
    </xf>
    <xf numFmtId="0" fontId="4" fillId="2" borderId="24" xfId="0" applyNumberFormat="1" applyFont="1" applyFill="1" applyBorder="1" applyAlignment="1" applyProtection="1" quotePrefix="1">
      <alignment horizontal="left" wrapText="1"/>
      <protection/>
    </xf>
    <xf numFmtId="0" fontId="5" fillId="2" borderId="25" xfId="0" applyNumberFormat="1" applyFont="1" applyFill="1" applyBorder="1" applyAlignment="1" applyProtection="1">
      <alignment wrapText="1"/>
      <protection/>
    </xf>
    <xf numFmtId="0" fontId="16" fillId="2" borderId="24" xfId="0" applyNumberFormat="1" applyFont="1" applyFill="1" applyBorder="1" applyAlignment="1" applyProtection="1">
      <alignment horizontal="left" wrapText="1"/>
      <protection/>
    </xf>
    <xf numFmtId="0" fontId="14" fillId="2" borderId="25" xfId="0" applyNumberFormat="1" applyFont="1" applyFill="1" applyBorder="1" applyAlignment="1" applyProtection="1">
      <alignment wrapText="1"/>
      <protection/>
    </xf>
    <xf numFmtId="0" fontId="13" fillId="2" borderId="2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8" fillId="2" borderId="24" xfId="0" applyNumberFormat="1" applyFont="1" applyFill="1" applyBorder="1" applyAlignment="1" applyProtection="1">
      <alignment horizontal="left" wrapText="1"/>
      <protection/>
    </xf>
    <xf numFmtId="0" fontId="19" fillId="2" borderId="25" xfId="0" applyNumberFormat="1" applyFont="1" applyFill="1" applyBorder="1" applyAlignment="1" applyProtection="1">
      <alignment wrapText="1"/>
      <protection/>
    </xf>
    <xf numFmtId="0" fontId="19" fillId="2" borderId="2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quotePrefix="1">
      <alignment horizontal="left"/>
    </xf>
    <xf numFmtId="0" fontId="18" fillId="2" borderId="24" xfId="0" applyFont="1" applyFill="1" applyBorder="1" applyAlignment="1">
      <alignment horizontal="left"/>
    </xf>
    <xf numFmtId="0" fontId="18" fillId="2" borderId="25" xfId="0" applyFont="1" applyFill="1" applyBorder="1" applyAlignment="1">
      <alignment horizontal="left"/>
    </xf>
    <xf numFmtId="0" fontId="18" fillId="2" borderId="20" xfId="0" applyFont="1" applyFill="1" applyBorder="1" applyAlignment="1">
      <alignment horizontal="left"/>
    </xf>
    <xf numFmtId="0" fontId="4" fillId="0" borderId="24" xfId="0" applyNumberFormat="1" applyFont="1" applyFill="1" applyBorder="1" applyAlignment="1" applyProtection="1" quotePrefix="1">
      <alignment horizontal="left" wrapText="1"/>
      <protection/>
    </xf>
    <xf numFmtId="0" fontId="0" fillId="0" borderId="25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2" borderId="24" xfId="0" applyFont="1" applyFill="1" applyBorder="1" applyAlignment="1">
      <alignment horizontal="left" wrapText="1"/>
    </xf>
    <xf numFmtId="0" fontId="16" fillId="2" borderId="25" xfId="0" applyFont="1" applyFill="1" applyBorder="1" applyAlignment="1" quotePrefix="1">
      <alignment horizontal="left" wrapText="1"/>
    </xf>
    <xf numFmtId="0" fontId="16" fillId="2" borderId="20" xfId="0" applyFont="1" applyFill="1" applyBorder="1" applyAlignment="1" quotePrefix="1">
      <alignment horizontal="left" wrapText="1"/>
    </xf>
    <xf numFmtId="3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0</xdr:col>
      <xdr:colOff>2171700</xdr:colOff>
      <xdr:row>8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2171700</xdr:colOff>
      <xdr:row>8</xdr:row>
      <xdr:rowOff>342900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H8" sqref="H8"/>
    </sheetView>
  </sheetViews>
  <sheetFormatPr defaultColWidth="9.140625" defaultRowHeight="12.75"/>
  <cols>
    <col min="5" max="5" width="31.28125" style="0" customWidth="1"/>
    <col min="6" max="6" width="24.7109375" style="0" customWidth="1"/>
    <col min="7" max="7" width="26.00390625" style="0" customWidth="1"/>
    <col min="8" max="8" width="33.7109375" style="0" customWidth="1"/>
  </cols>
  <sheetData>
    <row r="1" spans="1:8" s="72" customFormat="1" ht="69" customHeight="1">
      <c r="A1" s="180" t="s">
        <v>127</v>
      </c>
      <c r="B1" s="180"/>
      <c r="C1" s="180"/>
      <c r="D1" s="180"/>
      <c r="E1" s="180"/>
      <c r="F1" s="180"/>
      <c r="G1" s="180"/>
      <c r="H1" s="180"/>
    </row>
    <row r="2" spans="1:8" s="73" customFormat="1" ht="51.75" customHeight="1">
      <c r="A2" s="180" t="s">
        <v>68</v>
      </c>
      <c r="B2" s="180"/>
      <c r="C2" s="180"/>
      <c r="D2" s="180"/>
      <c r="E2" s="180"/>
      <c r="F2" s="180"/>
      <c r="G2" s="181"/>
      <c r="H2" s="181"/>
    </row>
    <row r="3" spans="1:8" s="72" customFormat="1" ht="24.75" customHeight="1">
      <c r="A3" s="180"/>
      <c r="B3" s="180"/>
      <c r="C3" s="180"/>
      <c r="D3" s="180"/>
      <c r="E3" s="180"/>
      <c r="F3" s="180"/>
      <c r="G3" s="180"/>
      <c r="H3" s="182"/>
    </row>
    <row r="4" spans="1:5" s="72" customFormat="1" ht="14.25" customHeight="1">
      <c r="A4" s="74"/>
      <c r="B4" s="75"/>
      <c r="C4" s="75"/>
      <c r="D4" s="75"/>
      <c r="E4" s="75"/>
    </row>
    <row r="5" spans="1:9" s="72" customFormat="1" ht="49.5" customHeight="1">
      <c r="A5" s="167"/>
      <c r="B5" s="168"/>
      <c r="C5" s="168"/>
      <c r="D5" s="168"/>
      <c r="E5" s="169"/>
      <c r="F5" s="95" t="s">
        <v>128</v>
      </c>
      <c r="G5" s="95" t="s">
        <v>129</v>
      </c>
      <c r="H5" s="76" t="s">
        <v>130</v>
      </c>
      <c r="I5" s="77"/>
    </row>
    <row r="6" spans="1:9" s="72" customFormat="1" ht="44.25" customHeight="1">
      <c r="A6" s="183" t="s">
        <v>69</v>
      </c>
      <c r="B6" s="184"/>
      <c r="C6" s="184"/>
      <c r="D6" s="184"/>
      <c r="E6" s="185"/>
      <c r="F6" s="117">
        <f>F7+F8</f>
        <v>17225888</v>
      </c>
      <c r="G6" s="117">
        <f>G7+G8</f>
        <v>16257480</v>
      </c>
      <c r="H6" s="117">
        <f>H7+H8</f>
        <v>16257480</v>
      </c>
      <c r="I6" s="78"/>
    </row>
    <row r="7" spans="1:8" s="72" customFormat="1" ht="38.25" customHeight="1">
      <c r="A7" s="173" t="s">
        <v>70</v>
      </c>
      <c r="B7" s="174"/>
      <c r="C7" s="174"/>
      <c r="D7" s="174"/>
      <c r="E7" s="186"/>
      <c r="F7" s="92">
        <v>17225888</v>
      </c>
      <c r="G7" s="92">
        <v>16257480</v>
      </c>
      <c r="H7" s="92">
        <v>16257480</v>
      </c>
    </row>
    <row r="8" spans="1:8" s="72" customFormat="1" ht="37.5" customHeight="1">
      <c r="A8" s="187" t="s">
        <v>71</v>
      </c>
      <c r="B8" s="186"/>
      <c r="C8" s="186"/>
      <c r="D8" s="186"/>
      <c r="E8" s="186"/>
      <c r="F8" s="79"/>
      <c r="G8" s="79"/>
      <c r="H8" s="79"/>
    </row>
    <row r="9" spans="1:8" s="72" customFormat="1" ht="36" customHeight="1">
      <c r="A9" s="188" t="s">
        <v>72</v>
      </c>
      <c r="B9" s="189"/>
      <c r="C9" s="189"/>
      <c r="D9" s="189"/>
      <c r="E9" s="190"/>
      <c r="F9" s="117">
        <f>F10+F11</f>
        <v>17225887.790000003</v>
      </c>
      <c r="G9" s="117">
        <f>G10+G11</f>
        <v>16257480</v>
      </c>
      <c r="H9" s="117">
        <f>H10+H11</f>
        <v>16257480</v>
      </c>
    </row>
    <row r="10" spans="1:8" s="72" customFormat="1" ht="34.5" customHeight="1">
      <c r="A10" s="191" t="s">
        <v>73</v>
      </c>
      <c r="B10" s="174"/>
      <c r="C10" s="174"/>
      <c r="D10" s="174"/>
      <c r="E10" s="192"/>
      <c r="F10" s="92">
        <f>'FP Ril-2019-20-21'!C12+'FP Ril-2019-20-21'!C20+'FP Ril-2019-20-21'!C50+'FP Ril-2019-20-21'!C56+'FP Ril-2019-20-21'!C60</f>
        <v>16254587.790000003</v>
      </c>
      <c r="G10" s="92">
        <v>15701480</v>
      </c>
      <c r="H10" s="92">
        <v>15701480</v>
      </c>
    </row>
    <row r="11" spans="1:8" s="72" customFormat="1" ht="34.5" customHeight="1">
      <c r="A11" s="187" t="s">
        <v>74</v>
      </c>
      <c r="B11" s="186"/>
      <c r="C11" s="186"/>
      <c r="D11" s="186"/>
      <c r="E11" s="186"/>
      <c r="F11" s="92">
        <f>'FP Ril-2019-20-21'!C63+'FP Ril-2019-20-21'!C70</f>
        <v>971300</v>
      </c>
      <c r="G11" s="92">
        <v>556000</v>
      </c>
      <c r="H11" s="92">
        <v>556000</v>
      </c>
    </row>
    <row r="12" spans="1:8" s="72" customFormat="1" ht="35.25" customHeight="1">
      <c r="A12" s="175" t="s">
        <v>75</v>
      </c>
      <c r="B12" s="176"/>
      <c r="C12" s="176"/>
      <c r="D12" s="176"/>
      <c r="E12" s="176"/>
      <c r="F12" s="118">
        <f>+F6-F9</f>
        <v>0.20999999716877937</v>
      </c>
      <c r="G12" s="118">
        <f>+G6-G9</f>
        <v>0</v>
      </c>
      <c r="H12" s="118">
        <f>+H6-H9</f>
        <v>0</v>
      </c>
    </row>
    <row r="13" spans="1:8" s="72" customFormat="1" ht="39.75" customHeight="1">
      <c r="A13" s="180"/>
      <c r="B13" s="194"/>
      <c r="C13" s="194"/>
      <c r="D13" s="194"/>
      <c r="E13" s="194"/>
      <c r="F13" s="182"/>
      <c r="G13" s="182"/>
      <c r="H13" s="182"/>
    </row>
    <row r="14" spans="1:8" s="72" customFormat="1" ht="45" customHeight="1">
      <c r="A14" s="167"/>
      <c r="B14" s="168"/>
      <c r="C14" s="168"/>
      <c r="D14" s="168"/>
      <c r="E14" s="169"/>
      <c r="F14" s="95" t="s">
        <v>128</v>
      </c>
      <c r="G14" s="95" t="s">
        <v>129</v>
      </c>
      <c r="H14" s="76" t="s">
        <v>130</v>
      </c>
    </row>
    <row r="15" spans="1:8" s="72" customFormat="1" ht="45" customHeight="1">
      <c r="A15" s="195" t="s">
        <v>108</v>
      </c>
      <c r="B15" s="196"/>
      <c r="C15" s="196"/>
      <c r="D15" s="196"/>
      <c r="E15" s="197"/>
      <c r="F15" s="119">
        <v>0</v>
      </c>
      <c r="G15" s="119">
        <v>0</v>
      </c>
      <c r="H15" s="120">
        <v>0</v>
      </c>
    </row>
    <row r="16" spans="1:8" s="72" customFormat="1" ht="42.75" customHeight="1">
      <c r="A16" s="177" t="s">
        <v>107</v>
      </c>
      <c r="B16" s="178"/>
      <c r="C16" s="178"/>
      <c r="D16" s="178"/>
      <c r="E16" s="179"/>
      <c r="F16" s="150">
        <v>0</v>
      </c>
      <c r="G16" s="150">
        <v>0</v>
      </c>
      <c r="H16" s="151">
        <v>0</v>
      </c>
    </row>
    <row r="17" spans="1:8" s="80" customFormat="1" ht="45.75" customHeight="1">
      <c r="A17" s="193"/>
      <c r="B17" s="194"/>
      <c r="C17" s="194"/>
      <c r="D17" s="194"/>
      <c r="E17" s="194"/>
      <c r="F17" s="182"/>
      <c r="G17" s="182"/>
      <c r="H17" s="182"/>
    </row>
    <row r="18" spans="1:8" s="80" customFormat="1" ht="47.25" customHeight="1">
      <c r="A18" s="167"/>
      <c r="B18" s="168"/>
      <c r="C18" s="168"/>
      <c r="D18" s="168"/>
      <c r="E18" s="169"/>
      <c r="F18" s="95" t="s">
        <v>128</v>
      </c>
      <c r="G18" s="95" t="s">
        <v>129</v>
      </c>
      <c r="H18" s="76" t="s">
        <v>130</v>
      </c>
    </row>
    <row r="19" spans="1:8" s="80" customFormat="1" ht="30" customHeight="1">
      <c r="A19" s="173" t="s">
        <v>76</v>
      </c>
      <c r="B19" s="174"/>
      <c r="C19" s="174"/>
      <c r="D19" s="174"/>
      <c r="E19" s="174"/>
      <c r="F19" s="79"/>
      <c r="G19" s="79"/>
      <c r="H19" s="79"/>
    </row>
    <row r="20" spans="1:8" s="80" customFormat="1" ht="30" customHeight="1">
      <c r="A20" s="173" t="s">
        <v>77</v>
      </c>
      <c r="B20" s="174"/>
      <c r="C20" s="174"/>
      <c r="D20" s="174"/>
      <c r="E20" s="174"/>
      <c r="F20" s="79"/>
      <c r="G20" s="79"/>
      <c r="H20" s="79"/>
    </row>
    <row r="21" spans="1:8" s="80" customFormat="1" ht="30" customHeight="1">
      <c r="A21" s="175" t="s">
        <v>78</v>
      </c>
      <c r="B21" s="176"/>
      <c r="C21" s="176"/>
      <c r="D21" s="176"/>
      <c r="E21" s="176"/>
      <c r="F21" s="121"/>
      <c r="G21" s="121"/>
      <c r="H21" s="121"/>
    </row>
    <row r="22" spans="1:8" s="80" customFormat="1" ht="32.25" customHeight="1">
      <c r="A22" s="171"/>
      <c r="B22" s="171"/>
      <c r="C22" s="171"/>
      <c r="D22" s="171"/>
      <c r="E22" s="172"/>
      <c r="F22" s="81"/>
      <c r="G22" s="81"/>
      <c r="H22" s="81"/>
    </row>
    <row r="23" spans="1:8" s="80" customFormat="1" ht="41.25" customHeight="1">
      <c r="A23" s="191" t="s">
        <v>79</v>
      </c>
      <c r="B23" s="174"/>
      <c r="C23" s="174"/>
      <c r="D23" s="174"/>
      <c r="E23" s="174"/>
      <c r="F23" s="79">
        <f>SUM(F12,F16,F21)</f>
        <v>0.20999999716877937</v>
      </c>
      <c r="G23" s="79">
        <f>SUM(G12,G16,G21)</f>
        <v>0</v>
      </c>
      <c r="H23" s="79">
        <f>SUM(H12,H16,H21)</f>
        <v>0</v>
      </c>
    </row>
    <row r="26" spans="1:8" ht="31.5" customHeight="1">
      <c r="A26" s="170" t="s">
        <v>109</v>
      </c>
      <c r="B26" s="170"/>
      <c r="C26" s="170"/>
      <c r="D26" s="170"/>
      <c r="E26" s="170"/>
      <c r="F26" s="170"/>
      <c r="G26" s="170"/>
      <c r="H26" s="170"/>
    </row>
  </sheetData>
  <sheetProtection/>
  <mergeCells count="23">
    <mergeCell ref="A8:E8"/>
    <mergeCell ref="A9:E9"/>
    <mergeCell ref="A10:E10"/>
    <mergeCell ref="A18:E18"/>
    <mergeCell ref="A17:H17"/>
    <mergeCell ref="A23:E23"/>
    <mergeCell ref="A15:E15"/>
    <mergeCell ref="A11:E11"/>
    <mergeCell ref="A12:E12"/>
    <mergeCell ref="A13:H13"/>
    <mergeCell ref="A1:H1"/>
    <mergeCell ref="A2:H2"/>
    <mergeCell ref="A3:H3"/>
    <mergeCell ref="A6:E6"/>
    <mergeCell ref="A7:E7"/>
    <mergeCell ref="A5:E5"/>
    <mergeCell ref="A14:E14"/>
    <mergeCell ref="A26:H26"/>
    <mergeCell ref="A22:E22"/>
    <mergeCell ref="A19:E19"/>
    <mergeCell ref="A20:E20"/>
    <mergeCell ref="A21:E21"/>
    <mergeCell ref="A16:E16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90" zoomScaleNormal="90" zoomScalePageLayoutView="0" workbookViewId="0" topLeftCell="A22">
      <selection activeCell="B37" sqref="B37:H37"/>
    </sheetView>
  </sheetViews>
  <sheetFormatPr defaultColWidth="9.140625" defaultRowHeight="12.75"/>
  <cols>
    <col min="1" max="1" width="40.57421875" style="0" customWidth="1"/>
    <col min="2" max="2" width="25.2812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32" t="s">
        <v>13</v>
      </c>
    </row>
    <row r="3" spans="1:8" s="6" customFormat="1" ht="20.25">
      <c r="A3" s="203" t="s">
        <v>131</v>
      </c>
      <c r="B3" s="203"/>
      <c r="C3" s="203"/>
      <c r="D3" s="203"/>
      <c r="E3" s="203"/>
      <c r="F3" s="203"/>
      <c r="G3" s="203"/>
      <c r="H3" s="203"/>
    </row>
    <row r="4" spans="1:9" s="6" customFormat="1" ht="15.75" customHeight="1">
      <c r="A4" s="204"/>
      <c r="B4" s="205"/>
      <c r="C4" s="205"/>
      <c r="D4" s="205"/>
      <c r="E4" s="205"/>
      <c r="F4" s="205"/>
      <c r="G4" s="205"/>
      <c r="H4" s="205"/>
      <c r="I4" s="7"/>
    </row>
    <row r="5" s="6" customFormat="1" ht="15" hidden="1"/>
    <row r="6" s="6" customFormat="1" ht="15.75" thickBot="1">
      <c r="H6" s="17" t="s">
        <v>1</v>
      </c>
    </row>
    <row r="7" spans="1:8" s="6" customFormat="1" ht="16.5" thickBot="1">
      <c r="A7" s="18" t="s">
        <v>3</v>
      </c>
      <c r="B7" s="206" t="s">
        <v>95</v>
      </c>
      <c r="C7" s="207"/>
      <c r="D7" s="207"/>
      <c r="E7" s="207"/>
      <c r="F7" s="207"/>
      <c r="G7" s="207"/>
      <c r="H7" s="208"/>
    </row>
    <row r="8" spans="1:8" s="6" customFormat="1" ht="15.75" customHeight="1">
      <c r="A8" s="19" t="s">
        <v>17</v>
      </c>
      <c r="B8" s="209" t="s">
        <v>4</v>
      </c>
      <c r="C8" s="211" t="s">
        <v>5</v>
      </c>
      <c r="D8" s="211" t="s">
        <v>6</v>
      </c>
      <c r="E8" s="213" t="s">
        <v>7</v>
      </c>
      <c r="F8" s="213" t="s">
        <v>0</v>
      </c>
      <c r="G8" s="215" t="s">
        <v>80</v>
      </c>
      <c r="H8" s="217" t="s">
        <v>81</v>
      </c>
    </row>
    <row r="9" spans="1:8" s="6" customFormat="1" ht="60.75" customHeight="1" thickBot="1">
      <c r="A9" s="20" t="s">
        <v>16</v>
      </c>
      <c r="B9" s="210"/>
      <c r="C9" s="212"/>
      <c r="D9" s="212"/>
      <c r="E9" s="214"/>
      <c r="F9" s="214"/>
      <c r="G9" s="216"/>
      <c r="H9" s="218"/>
    </row>
    <row r="10" spans="1:8" s="6" customFormat="1" ht="30" customHeight="1">
      <c r="A10" s="163" t="s">
        <v>94</v>
      </c>
      <c r="B10" s="106"/>
      <c r="C10" s="107"/>
      <c r="D10" s="107"/>
      <c r="E10" s="161">
        <v>65000</v>
      </c>
      <c r="F10" s="108"/>
      <c r="G10" s="109"/>
      <c r="H10" s="21"/>
    </row>
    <row r="11" spans="1:8" s="6" customFormat="1" ht="30" customHeight="1">
      <c r="A11" s="162" t="s">
        <v>139</v>
      </c>
      <c r="B11" s="110"/>
      <c r="C11" s="111"/>
      <c r="D11" s="111"/>
      <c r="E11" s="160">
        <v>89488.68</v>
      </c>
      <c r="F11" s="112"/>
      <c r="G11" s="113"/>
      <c r="H11" s="82"/>
    </row>
    <row r="12" spans="1:8" s="6" customFormat="1" ht="30" customHeight="1">
      <c r="A12" s="94" t="s">
        <v>114</v>
      </c>
      <c r="B12" s="110"/>
      <c r="C12" s="111"/>
      <c r="D12" s="111"/>
      <c r="E12" s="131">
        <f>10007292.72+67715.32+34000+47852.12+15591.88+120000+132500+14612.64+6652+1519156.32+166616.16+264000+37000</f>
        <v>12432989.160000002</v>
      </c>
      <c r="F12" s="112"/>
      <c r="G12" s="113"/>
      <c r="H12" s="82"/>
    </row>
    <row r="13" spans="1:8" s="6" customFormat="1" ht="30" customHeight="1">
      <c r="A13" s="93" t="s">
        <v>113</v>
      </c>
      <c r="B13" s="110"/>
      <c r="C13" s="111"/>
      <c r="D13" s="111"/>
      <c r="E13" s="130">
        <f>12960+8000+2200</f>
        <v>23160</v>
      </c>
      <c r="F13" s="112"/>
      <c r="G13" s="113"/>
      <c r="H13" s="82"/>
    </row>
    <row r="14" spans="1:8" s="6" customFormat="1" ht="30" customHeight="1">
      <c r="A14" s="22" t="s">
        <v>126</v>
      </c>
      <c r="B14" s="114"/>
      <c r="C14" s="115"/>
      <c r="D14" s="115"/>
      <c r="E14" s="156">
        <f>6000+3000+500</f>
        <v>9500</v>
      </c>
      <c r="F14" s="115"/>
      <c r="G14" s="116"/>
      <c r="H14" s="23"/>
    </row>
    <row r="15" spans="1:8" s="6" customFormat="1" ht="30" customHeight="1">
      <c r="A15" s="22" t="s">
        <v>100</v>
      </c>
      <c r="B15" s="114"/>
      <c r="C15" s="115"/>
      <c r="D15" s="115"/>
      <c r="E15" s="156">
        <f>12000+5000</f>
        <v>17000</v>
      </c>
      <c r="F15" s="115"/>
      <c r="G15" s="116"/>
      <c r="H15" s="23"/>
    </row>
    <row r="16" spans="1:8" s="6" customFormat="1" ht="30" customHeight="1">
      <c r="A16" s="22" t="s">
        <v>116</v>
      </c>
      <c r="B16" s="114"/>
      <c r="C16" s="115"/>
      <c r="D16" s="115"/>
      <c r="E16" s="157">
        <v>159769.36</v>
      </c>
      <c r="F16" s="115"/>
      <c r="G16" s="116"/>
      <c r="H16" s="23"/>
    </row>
    <row r="17" spans="1:8" s="6" customFormat="1" ht="30" customHeight="1">
      <c r="A17" s="22" t="s">
        <v>117</v>
      </c>
      <c r="B17" s="114"/>
      <c r="C17" s="115"/>
      <c r="D17" s="115"/>
      <c r="E17" s="157">
        <v>413639.28</v>
      </c>
      <c r="F17" s="115"/>
      <c r="G17" s="116"/>
      <c r="H17" s="23"/>
    </row>
    <row r="18" spans="1:8" s="6" customFormat="1" ht="30" customHeight="1">
      <c r="A18" s="22" t="s">
        <v>140</v>
      </c>
      <c r="B18" s="114"/>
      <c r="C18" s="115"/>
      <c r="D18" s="115"/>
      <c r="E18" s="157">
        <f>241250+20000+37394.1+4101.6+21500+2250</f>
        <v>326495.69999999995</v>
      </c>
      <c r="F18" s="115"/>
      <c r="G18" s="116"/>
      <c r="H18" s="23"/>
    </row>
    <row r="19" spans="1:8" s="6" customFormat="1" ht="30" customHeight="1">
      <c r="A19" s="22" t="s">
        <v>141</v>
      </c>
      <c r="B19" s="114"/>
      <c r="C19" s="115"/>
      <c r="D19" s="115"/>
      <c r="E19" s="157">
        <v>150939.18</v>
      </c>
      <c r="F19" s="115"/>
      <c r="G19" s="116"/>
      <c r="H19" s="23"/>
    </row>
    <row r="20" spans="1:8" s="6" customFormat="1" ht="30" customHeight="1">
      <c r="A20" s="22" t="s">
        <v>88</v>
      </c>
      <c r="B20" s="114"/>
      <c r="C20" s="156">
        <v>500</v>
      </c>
      <c r="D20" s="115"/>
      <c r="E20" s="115"/>
      <c r="F20" s="115"/>
      <c r="G20" s="116"/>
      <c r="H20" s="23"/>
    </row>
    <row r="21" spans="1:8" s="6" customFormat="1" ht="30" customHeight="1">
      <c r="A21" s="71" t="s">
        <v>101</v>
      </c>
      <c r="B21" s="114"/>
      <c r="C21" s="156">
        <v>1000</v>
      </c>
      <c r="D21" s="115"/>
      <c r="E21" s="115"/>
      <c r="F21" s="115"/>
      <c r="G21" s="116"/>
      <c r="H21" s="23"/>
    </row>
    <row r="22" spans="1:8" s="6" customFormat="1" ht="30" customHeight="1">
      <c r="A22" s="71" t="s">
        <v>66</v>
      </c>
      <c r="B22" s="114"/>
      <c r="C22" s="115"/>
      <c r="D22" s="156">
        <v>250000</v>
      </c>
      <c r="E22" s="115"/>
      <c r="F22" s="115"/>
      <c r="G22" s="116"/>
      <c r="H22" s="23"/>
    </row>
    <row r="23" spans="1:8" s="6" customFormat="1" ht="30" customHeight="1">
      <c r="A23" s="22" t="s">
        <v>118</v>
      </c>
      <c r="B23" s="114"/>
      <c r="C23" s="115"/>
      <c r="D23" s="156">
        <v>1500</v>
      </c>
      <c r="E23" s="115"/>
      <c r="F23" s="115"/>
      <c r="G23" s="116"/>
      <c r="H23" s="23"/>
    </row>
    <row r="24" spans="1:8" s="6" customFormat="1" ht="30" customHeight="1">
      <c r="A24" s="22" t="s">
        <v>125</v>
      </c>
      <c r="B24" s="114"/>
      <c r="C24" s="115"/>
      <c r="D24" s="156"/>
      <c r="E24" s="115"/>
      <c r="F24" s="115"/>
      <c r="G24" s="116"/>
      <c r="H24" s="23"/>
    </row>
    <row r="25" spans="1:8" s="6" customFormat="1" ht="30" customHeight="1">
      <c r="A25" s="22" t="s">
        <v>119</v>
      </c>
      <c r="B25" s="114"/>
      <c r="C25" s="115"/>
      <c r="D25" s="156"/>
      <c r="E25" s="115"/>
      <c r="F25" s="115"/>
      <c r="G25" s="116"/>
      <c r="H25" s="23"/>
    </row>
    <row r="26" spans="1:8" s="6" customFormat="1" ht="30" customHeight="1">
      <c r="A26" s="22" t="s">
        <v>90</v>
      </c>
      <c r="B26" s="114"/>
      <c r="C26" s="156">
        <v>4000</v>
      </c>
      <c r="D26" s="115"/>
      <c r="E26" s="115"/>
      <c r="F26" s="115"/>
      <c r="G26" s="116"/>
      <c r="H26" s="23"/>
    </row>
    <row r="27" spans="1:8" s="6" customFormat="1" ht="30" customHeight="1">
      <c r="A27" s="22" t="s">
        <v>84</v>
      </c>
      <c r="B27" s="114"/>
      <c r="C27" s="156">
        <v>80000</v>
      </c>
      <c r="D27" s="115"/>
      <c r="E27" s="115"/>
      <c r="F27" s="115"/>
      <c r="G27" s="116"/>
      <c r="H27" s="23"/>
    </row>
    <row r="28" spans="1:8" s="6" customFormat="1" ht="30" customHeight="1">
      <c r="A28" s="22" t="s">
        <v>91</v>
      </c>
      <c r="B28" s="114"/>
      <c r="C28" s="115"/>
      <c r="D28" s="115"/>
      <c r="E28" s="115"/>
      <c r="F28" s="156">
        <v>200</v>
      </c>
      <c r="G28" s="116"/>
      <c r="H28" s="23"/>
    </row>
    <row r="29" spans="1:8" s="6" customFormat="1" ht="30" customHeight="1">
      <c r="A29" s="22" t="s">
        <v>112</v>
      </c>
      <c r="B29" s="114"/>
      <c r="C29" s="115"/>
      <c r="D29" s="115"/>
      <c r="E29" s="115"/>
      <c r="F29" s="156"/>
      <c r="G29" s="116"/>
      <c r="H29" s="23"/>
    </row>
    <row r="30" spans="1:8" s="6" customFormat="1" ht="30" customHeight="1">
      <c r="A30" s="22" t="s">
        <v>92</v>
      </c>
      <c r="B30" s="114"/>
      <c r="C30" s="115"/>
      <c r="D30" s="115"/>
      <c r="E30" s="115"/>
      <c r="F30" s="156">
        <v>2000</v>
      </c>
      <c r="G30" s="116"/>
      <c r="H30" s="23"/>
    </row>
    <row r="31" spans="1:8" s="6" customFormat="1" ht="30" customHeight="1">
      <c r="A31" s="22" t="s">
        <v>21</v>
      </c>
      <c r="B31" s="155">
        <f>170000+200969.28+98563.56+35000+31150.32+26350.2+15277.32+3416.4+2890.2+1675.56+10320+2400+12500+625300+5800+350000+10000+450000+27000+3000+70000+18000</f>
        <v>2169612.84</v>
      </c>
      <c r="C31" s="115"/>
      <c r="D31" s="115"/>
      <c r="E31" s="115"/>
      <c r="F31" s="115"/>
      <c r="G31" s="116"/>
      <c r="H31" s="23"/>
    </row>
    <row r="32" spans="1:8" s="6" customFormat="1" ht="30" customHeight="1">
      <c r="A32" s="22" t="s">
        <v>120</v>
      </c>
      <c r="B32" s="155">
        <v>76093.59</v>
      </c>
      <c r="C32" s="115"/>
      <c r="D32" s="115"/>
      <c r="E32" s="115"/>
      <c r="F32" s="115"/>
      <c r="G32" s="116"/>
      <c r="H32" s="23"/>
    </row>
    <row r="33" spans="1:8" s="6" customFormat="1" ht="30" customHeight="1">
      <c r="A33" s="22" t="s">
        <v>22</v>
      </c>
      <c r="B33" s="155">
        <f>60000+30000+10000+1000+850000</f>
        <v>951000</v>
      </c>
      <c r="C33" s="115"/>
      <c r="D33" s="115"/>
      <c r="E33" s="115"/>
      <c r="F33" s="115"/>
      <c r="G33" s="116"/>
      <c r="H33" s="23"/>
    </row>
    <row r="34" spans="1:8" s="6" customFormat="1" ht="30" customHeight="1">
      <c r="A34" s="22" t="s">
        <v>23</v>
      </c>
      <c r="B34" s="114"/>
      <c r="C34" s="156">
        <v>2000</v>
      </c>
      <c r="D34" s="115"/>
      <c r="E34" s="115"/>
      <c r="F34" s="115"/>
      <c r="G34" s="116"/>
      <c r="H34" s="23"/>
    </row>
    <row r="35" spans="1:8" s="6" customFormat="1" ht="30" customHeight="1" thickBot="1">
      <c r="A35" s="24"/>
      <c r="B35" s="25"/>
      <c r="C35" s="25"/>
      <c r="D35" s="25"/>
      <c r="E35" s="25"/>
      <c r="F35" s="25"/>
      <c r="G35" s="28"/>
      <c r="H35" s="26"/>
    </row>
    <row r="36" spans="1:8" s="6" customFormat="1" ht="30" customHeight="1" thickBot="1">
      <c r="A36" s="27" t="s">
        <v>2</v>
      </c>
      <c r="B36" s="67">
        <f aca="true" t="shared" si="0" ref="B36:H36">SUM(B10:B35)</f>
        <v>3196706.4299999997</v>
      </c>
      <c r="C36" s="143">
        <f t="shared" si="0"/>
        <v>87500</v>
      </c>
      <c r="D36" s="143">
        <f t="shared" si="0"/>
        <v>251500</v>
      </c>
      <c r="E36" s="67">
        <f>SUM(E10:E35)</f>
        <v>13687981.36</v>
      </c>
      <c r="F36" s="143">
        <f t="shared" si="0"/>
        <v>2200</v>
      </c>
      <c r="G36" s="67">
        <f t="shared" si="0"/>
        <v>0</v>
      </c>
      <c r="H36" s="67">
        <f t="shared" si="0"/>
        <v>0</v>
      </c>
    </row>
    <row r="37" spans="1:8" s="6" customFormat="1" ht="30" customHeight="1" thickBot="1">
      <c r="A37" s="27" t="s">
        <v>132</v>
      </c>
      <c r="B37" s="198">
        <f>B36+C36+D36+E36+F36</f>
        <v>17225887.79</v>
      </c>
      <c r="C37" s="199"/>
      <c r="D37" s="199"/>
      <c r="E37" s="199"/>
      <c r="F37" s="199"/>
      <c r="G37" s="199"/>
      <c r="H37" s="200"/>
    </row>
    <row r="38" s="6" customFormat="1" ht="15"/>
    <row r="39" spans="1:15" s="6" customFormat="1" ht="15.75">
      <c r="A39" s="5"/>
      <c r="H39" s="33"/>
      <c r="I39" s="33"/>
      <c r="J39"/>
      <c r="K39"/>
      <c r="L39"/>
      <c r="M39"/>
      <c r="N39"/>
      <c r="O39"/>
    </row>
    <row r="40" spans="1:15" s="6" customFormat="1" ht="15">
      <c r="A40" s="31"/>
      <c r="I40"/>
      <c r="J40"/>
      <c r="K40"/>
      <c r="L40"/>
      <c r="M40"/>
      <c r="N40"/>
      <c r="O40"/>
    </row>
    <row r="41" spans="1:15" s="6" customFormat="1" ht="34.5" customHeight="1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</row>
    <row r="42" spans="1:15" s="6" customFormat="1" ht="15">
      <c r="A42" s="31"/>
      <c r="I42"/>
      <c r="J42"/>
      <c r="K42"/>
      <c r="L42"/>
      <c r="M42"/>
      <c r="N42"/>
      <c r="O42"/>
    </row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</sheetData>
  <sheetProtection/>
  <mergeCells count="12">
    <mergeCell ref="G8:G9"/>
    <mergeCell ref="H8:H9"/>
    <mergeCell ref="B37:H37"/>
    <mergeCell ref="A41:O41"/>
    <mergeCell ref="A3:H3"/>
    <mergeCell ref="A4:H4"/>
    <mergeCell ref="B7:H7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1" fitToWidth="1" horizontalDpi="300" verticalDpi="3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0" zoomScaleNormal="80" zoomScalePageLayoutView="0" workbookViewId="0" topLeftCell="A1">
      <selection activeCell="I28" sqref="I28"/>
    </sheetView>
  </sheetViews>
  <sheetFormatPr defaultColWidth="9.140625" defaultRowHeight="12.75"/>
  <cols>
    <col min="1" max="1" width="39.57421875" style="0" customWidth="1"/>
    <col min="2" max="2" width="16.8515625" style="0" customWidth="1"/>
    <col min="3" max="3" width="13.140625" style="0" customWidth="1"/>
    <col min="4" max="4" width="15.140625" style="0" customWidth="1"/>
    <col min="5" max="5" width="16.57421875" style="0" customWidth="1"/>
    <col min="6" max="6" width="11.00390625" style="0" customWidth="1"/>
    <col min="7" max="7" width="23.00390625" style="0" customWidth="1"/>
    <col min="8" max="8" width="13.28125" style="0" customWidth="1"/>
    <col min="9" max="9" width="17.8515625" style="0" customWidth="1"/>
    <col min="10" max="10" width="13.00390625" style="0" customWidth="1"/>
    <col min="11" max="11" width="16.28125" style="0" customWidth="1"/>
    <col min="12" max="12" width="14.7109375" style="0" customWidth="1"/>
    <col min="13" max="13" width="12.00390625" style="0" customWidth="1"/>
    <col min="14" max="14" width="21.8515625" style="0" customWidth="1"/>
    <col min="15" max="15" width="16.00390625" style="0" customWidth="1"/>
  </cols>
  <sheetData>
    <row r="1" ht="12.75">
      <c r="N1" s="32" t="s">
        <v>14</v>
      </c>
    </row>
    <row r="2" spans="1:15" ht="20.25">
      <c r="A2" s="203" t="s">
        <v>133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5.75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ht="13.5" thickBot="1">
      <c r="O4" s="8" t="s">
        <v>1</v>
      </c>
    </row>
    <row r="5" spans="1:15" ht="15.75" thickBot="1">
      <c r="A5" s="9" t="s">
        <v>3</v>
      </c>
      <c r="B5" s="221" t="s">
        <v>110</v>
      </c>
      <c r="C5" s="222"/>
      <c r="D5" s="222"/>
      <c r="E5" s="222"/>
      <c r="F5" s="222"/>
      <c r="G5" s="222"/>
      <c r="H5" s="223"/>
      <c r="I5" s="221" t="s">
        <v>135</v>
      </c>
      <c r="J5" s="222"/>
      <c r="K5" s="222"/>
      <c r="L5" s="222"/>
      <c r="M5" s="222"/>
      <c r="N5" s="222"/>
      <c r="O5" s="223"/>
    </row>
    <row r="6" spans="1:15" ht="15.75" customHeight="1">
      <c r="A6" s="10" t="s">
        <v>19</v>
      </c>
      <c r="B6" s="209" t="s">
        <v>4</v>
      </c>
      <c r="C6" s="219" t="s">
        <v>5</v>
      </c>
      <c r="D6" s="219" t="s">
        <v>6</v>
      </c>
      <c r="E6" s="215" t="s">
        <v>7</v>
      </c>
      <c r="F6" s="215" t="s">
        <v>0</v>
      </c>
      <c r="G6" s="215" t="s">
        <v>82</v>
      </c>
      <c r="H6" s="217" t="s">
        <v>81</v>
      </c>
      <c r="I6" s="209" t="s">
        <v>4</v>
      </c>
      <c r="J6" s="224" t="s">
        <v>5</v>
      </c>
      <c r="K6" s="224" t="s">
        <v>6</v>
      </c>
      <c r="L6" s="215" t="s">
        <v>7</v>
      </c>
      <c r="M6" s="215" t="s">
        <v>0</v>
      </c>
      <c r="N6" s="215" t="s">
        <v>82</v>
      </c>
      <c r="O6" s="217" t="s">
        <v>81</v>
      </c>
    </row>
    <row r="7" spans="1:15" ht="63.75" customHeight="1" thickBot="1">
      <c r="A7" s="11" t="s">
        <v>18</v>
      </c>
      <c r="B7" s="210"/>
      <c r="C7" s="220"/>
      <c r="D7" s="220"/>
      <c r="E7" s="216"/>
      <c r="F7" s="216"/>
      <c r="G7" s="216"/>
      <c r="H7" s="218"/>
      <c r="I7" s="210"/>
      <c r="J7" s="225"/>
      <c r="K7" s="225"/>
      <c r="L7" s="216"/>
      <c r="M7" s="216"/>
      <c r="N7" s="216"/>
      <c r="O7" s="218"/>
    </row>
    <row r="8" spans="1:15" ht="39" customHeight="1">
      <c r="A8" s="96" t="s">
        <v>94</v>
      </c>
      <c r="B8" s="83"/>
      <c r="C8" s="84"/>
      <c r="D8" s="84"/>
      <c r="E8" s="84">
        <v>65000</v>
      </c>
      <c r="F8" s="84"/>
      <c r="G8" s="85"/>
      <c r="H8" s="86"/>
      <c r="I8" s="91"/>
      <c r="J8" s="88"/>
      <c r="K8" s="88"/>
      <c r="L8" s="84">
        <v>65000</v>
      </c>
      <c r="M8" s="88"/>
      <c r="N8" s="89"/>
      <c r="O8" s="90"/>
    </row>
    <row r="9" spans="1:15" ht="39" customHeight="1">
      <c r="A9" s="164" t="s">
        <v>139</v>
      </c>
      <c r="B9" s="83"/>
      <c r="C9" s="84"/>
      <c r="D9" s="84"/>
      <c r="E9" s="84">
        <v>89489</v>
      </c>
      <c r="F9" s="84"/>
      <c r="G9" s="85"/>
      <c r="H9" s="86"/>
      <c r="I9" s="91"/>
      <c r="J9" s="88"/>
      <c r="K9" s="88"/>
      <c r="L9" s="84">
        <v>89489</v>
      </c>
      <c r="M9" s="88"/>
      <c r="N9" s="89"/>
      <c r="O9" s="90"/>
    </row>
    <row r="10" spans="1:15" ht="24.75" customHeight="1">
      <c r="A10" s="165" t="s">
        <v>114</v>
      </c>
      <c r="B10" s="83"/>
      <c r="C10" s="84"/>
      <c r="D10" s="84"/>
      <c r="E10" s="84">
        <v>12432989</v>
      </c>
      <c r="F10" s="84"/>
      <c r="G10" s="85"/>
      <c r="H10" s="86"/>
      <c r="I10" s="91"/>
      <c r="J10" s="88"/>
      <c r="K10" s="88"/>
      <c r="L10" s="84">
        <v>12432989</v>
      </c>
      <c r="M10" s="88"/>
      <c r="N10" s="89"/>
      <c r="O10" s="90"/>
    </row>
    <row r="11" spans="1:15" ht="33" customHeight="1">
      <c r="A11" s="97" t="s">
        <v>98</v>
      </c>
      <c r="B11" s="83"/>
      <c r="C11" s="84"/>
      <c r="D11" s="84"/>
      <c r="E11" s="84">
        <v>23160</v>
      </c>
      <c r="F11" s="84"/>
      <c r="G11" s="85"/>
      <c r="H11" s="86"/>
      <c r="I11" s="83"/>
      <c r="J11" s="88"/>
      <c r="K11" s="88"/>
      <c r="L11" s="84">
        <v>23160</v>
      </c>
      <c r="M11" s="88"/>
      <c r="N11" s="89"/>
      <c r="O11" s="90"/>
    </row>
    <row r="12" spans="1:15" ht="24.75" customHeight="1">
      <c r="A12" s="98" t="s">
        <v>99</v>
      </c>
      <c r="B12" s="83"/>
      <c r="C12" s="84"/>
      <c r="D12" s="84"/>
      <c r="E12" s="84">
        <v>9500</v>
      </c>
      <c r="F12" s="84"/>
      <c r="G12" s="85"/>
      <c r="H12" s="86"/>
      <c r="I12" s="83"/>
      <c r="J12" s="88"/>
      <c r="K12" s="88"/>
      <c r="L12" s="84">
        <v>9500</v>
      </c>
      <c r="M12" s="88"/>
      <c r="N12" s="89"/>
      <c r="O12" s="90"/>
    </row>
    <row r="13" spans="1:15" ht="24.75" customHeight="1">
      <c r="A13" s="98" t="s">
        <v>100</v>
      </c>
      <c r="B13" s="83"/>
      <c r="C13" s="84"/>
      <c r="D13" s="84"/>
      <c r="E13" s="84">
        <v>17000</v>
      </c>
      <c r="F13" s="84"/>
      <c r="G13" s="85"/>
      <c r="H13" s="86"/>
      <c r="I13" s="91"/>
      <c r="J13" s="88"/>
      <c r="K13" s="88"/>
      <c r="L13" s="84">
        <v>17000</v>
      </c>
      <c r="M13" s="88"/>
      <c r="N13" s="89"/>
      <c r="O13" s="90"/>
    </row>
    <row r="14" spans="1:15" ht="24.75" customHeight="1">
      <c r="A14" s="144" t="s">
        <v>142</v>
      </c>
      <c r="B14" s="83"/>
      <c r="C14" s="84"/>
      <c r="D14" s="84"/>
      <c r="E14" s="84">
        <v>326496</v>
      </c>
      <c r="F14" s="84"/>
      <c r="G14" s="85"/>
      <c r="H14" s="86"/>
      <c r="I14" s="91"/>
      <c r="J14" s="88"/>
      <c r="K14" s="88"/>
      <c r="L14" s="84">
        <v>326496</v>
      </c>
      <c r="M14" s="88"/>
      <c r="N14" s="89"/>
      <c r="O14" s="90"/>
    </row>
    <row r="15" spans="1:15" ht="24.75" customHeight="1">
      <c r="A15" s="144" t="s">
        <v>143</v>
      </c>
      <c r="B15" s="83"/>
      <c r="C15" s="84"/>
      <c r="D15" s="84"/>
      <c r="E15" s="84">
        <v>150939</v>
      </c>
      <c r="F15" s="84"/>
      <c r="G15" s="85"/>
      <c r="H15" s="86"/>
      <c r="I15" s="91"/>
      <c r="J15" s="88"/>
      <c r="K15" s="88"/>
      <c r="L15" s="84">
        <v>150939</v>
      </c>
      <c r="M15" s="88"/>
      <c r="N15" s="89"/>
      <c r="O15" s="90"/>
    </row>
    <row r="16" spans="1:15" ht="24.75" customHeight="1">
      <c r="A16" s="98" t="s">
        <v>88</v>
      </c>
      <c r="B16" s="87"/>
      <c r="C16" s="88">
        <v>500</v>
      </c>
      <c r="D16" s="88"/>
      <c r="E16" s="88"/>
      <c r="F16" s="88"/>
      <c r="G16" s="89"/>
      <c r="H16" s="90"/>
      <c r="I16" s="91"/>
      <c r="J16" s="88">
        <v>500</v>
      </c>
      <c r="K16" s="88"/>
      <c r="L16" s="88"/>
      <c r="M16" s="88"/>
      <c r="N16" s="89"/>
      <c r="O16" s="90"/>
    </row>
    <row r="17" spans="1:15" ht="24.75" customHeight="1">
      <c r="A17" s="166" t="s">
        <v>144</v>
      </c>
      <c r="B17" s="87"/>
      <c r="C17" s="88">
        <v>1000</v>
      </c>
      <c r="D17" s="88"/>
      <c r="E17" s="88"/>
      <c r="F17" s="88"/>
      <c r="G17" s="89"/>
      <c r="H17" s="90"/>
      <c r="I17" s="91"/>
      <c r="J17" s="88">
        <v>1000</v>
      </c>
      <c r="K17" s="88"/>
      <c r="L17" s="88"/>
      <c r="M17" s="88"/>
      <c r="N17" s="89"/>
      <c r="O17" s="90"/>
    </row>
    <row r="18" spans="1:15" ht="24.75" customHeight="1">
      <c r="A18" s="99" t="s">
        <v>66</v>
      </c>
      <c r="B18" s="87"/>
      <c r="C18" s="88"/>
      <c r="D18" s="88">
        <v>250000</v>
      </c>
      <c r="E18" s="88"/>
      <c r="F18" s="88"/>
      <c r="G18" s="89"/>
      <c r="H18" s="90"/>
      <c r="I18" s="91"/>
      <c r="J18" s="88"/>
      <c r="K18" s="88">
        <v>250000</v>
      </c>
      <c r="L18" s="88"/>
      <c r="M18" s="88"/>
      <c r="N18" s="89"/>
      <c r="O18" s="90"/>
    </row>
    <row r="19" spans="1:15" ht="24.75" customHeight="1">
      <c r="A19" s="98" t="s">
        <v>89</v>
      </c>
      <c r="B19" s="3"/>
      <c r="C19" s="1"/>
      <c r="D19" s="1">
        <v>1500</v>
      </c>
      <c r="E19" s="1"/>
      <c r="F19" s="1"/>
      <c r="G19" s="29"/>
      <c r="H19" s="4"/>
      <c r="I19" s="91"/>
      <c r="J19" s="1"/>
      <c r="K19" s="1">
        <v>1500</v>
      </c>
      <c r="L19" s="88"/>
      <c r="M19" s="88"/>
      <c r="N19" s="89"/>
      <c r="O19" s="90"/>
    </row>
    <row r="20" spans="1:15" ht="24.75" customHeight="1">
      <c r="A20" s="98" t="s">
        <v>90</v>
      </c>
      <c r="B20" s="3"/>
      <c r="C20" s="1">
        <v>4000</v>
      </c>
      <c r="D20" s="1"/>
      <c r="E20" s="1"/>
      <c r="F20" s="1"/>
      <c r="G20" s="29"/>
      <c r="H20" s="4"/>
      <c r="I20" s="91"/>
      <c r="J20" s="1">
        <v>4000</v>
      </c>
      <c r="K20" s="88"/>
      <c r="L20" s="88"/>
      <c r="M20" s="88"/>
      <c r="N20" s="89"/>
      <c r="O20" s="90"/>
    </row>
    <row r="21" spans="1:15" ht="24.75" customHeight="1">
      <c r="A21" s="98" t="s">
        <v>84</v>
      </c>
      <c r="B21" s="3"/>
      <c r="C21" s="1">
        <v>80000</v>
      </c>
      <c r="D21" s="1"/>
      <c r="E21" s="1"/>
      <c r="F21" s="1"/>
      <c r="G21" s="29"/>
      <c r="H21" s="4"/>
      <c r="I21" s="15"/>
      <c r="J21" s="1">
        <v>80000</v>
      </c>
      <c r="K21" s="1"/>
      <c r="L21" s="1"/>
      <c r="M21" s="1"/>
      <c r="N21" s="29"/>
      <c r="O21" s="4"/>
    </row>
    <row r="22" spans="1:15" ht="24.75" customHeight="1">
      <c r="A22" s="98" t="s">
        <v>91</v>
      </c>
      <c r="B22" s="3"/>
      <c r="C22" s="1"/>
      <c r="D22" s="1"/>
      <c r="E22" s="1"/>
      <c r="F22" s="1">
        <v>200</v>
      </c>
      <c r="G22" s="29"/>
      <c r="H22" s="4"/>
      <c r="I22" s="15"/>
      <c r="J22" s="1"/>
      <c r="K22" s="1"/>
      <c r="L22" s="1"/>
      <c r="M22" s="1">
        <v>200</v>
      </c>
      <c r="N22" s="29"/>
      <c r="O22" s="4"/>
    </row>
    <row r="23" spans="1:15" ht="24.75" customHeight="1">
      <c r="A23" s="98" t="s">
        <v>92</v>
      </c>
      <c r="B23" s="3"/>
      <c r="C23" s="1"/>
      <c r="D23" s="1"/>
      <c r="E23" s="1"/>
      <c r="F23" s="1">
        <v>2000</v>
      </c>
      <c r="G23" s="29"/>
      <c r="H23" s="4"/>
      <c r="I23" s="15"/>
      <c r="J23" s="1"/>
      <c r="K23" s="1"/>
      <c r="L23" s="1"/>
      <c r="M23" s="1">
        <v>2000</v>
      </c>
      <c r="N23" s="29"/>
      <c r="O23" s="4"/>
    </row>
    <row r="24" spans="1:15" ht="24.75" customHeight="1">
      <c r="A24" s="144" t="s">
        <v>112</v>
      </c>
      <c r="B24" s="3"/>
      <c r="C24" s="1"/>
      <c r="D24" s="1"/>
      <c r="E24" s="1"/>
      <c r="F24" s="1"/>
      <c r="G24" s="29"/>
      <c r="H24" s="4"/>
      <c r="I24" s="15"/>
      <c r="J24" s="1"/>
      <c r="K24" s="1"/>
      <c r="L24" s="1"/>
      <c r="M24" s="1"/>
      <c r="N24" s="29"/>
      <c r="O24" s="4"/>
    </row>
    <row r="25" spans="1:15" ht="24.75" customHeight="1">
      <c r="A25" s="98" t="s">
        <v>21</v>
      </c>
      <c r="B25" s="3">
        <v>2169613</v>
      </c>
      <c r="C25" s="1"/>
      <c r="D25" s="1"/>
      <c r="E25" s="1"/>
      <c r="F25" s="1"/>
      <c r="G25" s="29"/>
      <c r="H25" s="4"/>
      <c r="I25" s="3">
        <v>2169613</v>
      </c>
      <c r="J25" s="1"/>
      <c r="K25" s="1"/>
      <c r="L25" s="1"/>
      <c r="M25" s="1"/>
      <c r="N25" s="29"/>
      <c r="O25" s="4"/>
    </row>
    <row r="26" spans="1:15" ht="24.75" customHeight="1">
      <c r="A26" s="144" t="s">
        <v>145</v>
      </c>
      <c r="B26" s="3">
        <v>76094</v>
      </c>
      <c r="C26" s="1"/>
      <c r="D26" s="1"/>
      <c r="E26" s="1"/>
      <c r="F26" s="1"/>
      <c r="G26" s="29"/>
      <c r="H26" s="4"/>
      <c r="I26" s="3">
        <v>76094</v>
      </c>
      <c r="J26" s="1"/>
      <c r="K26" s="1"/>
      <c r="L26" s="1"/>
      <c r="M26" s="1"/>
      <c r="N26" s="29"/>
      <c r="O26" s="4"/>
    </row>
    <row r="27" spans="1:15" ht="24.75" customHeight="1">
      <c r="A27" s="98" t="s">
        <v>22</v>
      </c>
      <c r="B27" s="3">
        <v>556000</v>
      </c>
      <c r="C27" s="1"/>
      <c r="D27" s="1"/>
      <c r="E27" s="1"/>
      <c r="F27" s="1"/>
      <c r="G27" s="29"/>
      <c r="H27" s="4"/>
      <c r="I27" s="3">
        <v>556000</v>
      </c>
      <c r="J27" s="1"/>
      <c r="K27" s="1"/>
      <c r="L27" s="1"/>
      <c r="M27" s="1"/>
      <c r="N27" s="29"/>
      <c r="O27" s="4"/>
    </row>
    <row r="28" spans="1:15" ht="24.75" customHeight="1">
      <c r="A28" s="98" t="s">
        <v>23</v>
      </c>
      <c r="B28" s="3"/>
      <c r="C28" s="1">
        <v>2000</v>
      </c>
      <c r="D28" s="1"/>
      <c r="E28" s="1"/>
      <c r="F28" s="1"/>
      <c r="G28" s="29"/>
      <c r="H28" s="4"/>
      <c r="I28" s="15"/>
      <c r="J28" s="1">
        <v>2000</v>
      </c>
      <c r="K28" s="1"/>
      <c r="L28" s="1"/>
      <c r="M28" s="1"/>
      <c r="N28" s="29"/>
      <c r="O28" s="4"/>
    </row>
    <row r="29" spans="1:15" ht="24.75" customHeight="1" thickBot="1">
      <c r="A29" s="100"/>
      <c r="B29" s="12"/>
      <c r="C29" s="13"/>
      <c r="D29" s="13"/>
      <c r="E29" s="13"/>
      <c r="F29" s="13"/>
      <c r="G29" s="30"/>
      <c r="H29" s="14"/>
      <c r="I29" s="16"/>
      <c r="J29" s="13"/>
      <c r="K29" s="13"/>
      <c r="L29" s="13"/>
      <c r="M29" s="13"/>
      <c r="N29" s="30"/>
      <c r="O29" s="14"/>
    </row>
    <row r="30" spans="1:15" ht="24.75" customHeight="1" thickBot="1">
      <c r="A30" s="2" t="s">
        <v>2</v>
      </c>
      <c r="B30" s="68">
        <f>SUM(B8:B29)</f>
        <v>2801707</v>
      </c>
      <c r="C30" s="68">
        <f aca="true" t="shared" si="0" ref="C30:O30">SUM(C8:C29)</f>
        <v>87500</v>
      </c>
      <c r="D30" s="68">
        <f t="shared" si="0"/>
        <v>251500</v>
      </c>
      <c r="E30" s="68">
        <f t="shared" si="0"/>
        <v>13114573</v>
      </c>
      <c r="F30" s="68">
        <f t="shared" si="0"/>
        <v>2200</v>
      </c>
      <c r="G30" s="68">
        <f t="shared" si="0"/>
        <v>0</v>
      </c>
      <c r="H30" s="68">
        <f t="shared" si="0"/>
        <v>0</v>
      </c>
      <c r="I30" s="68">
        <f t="shared" si="0"/>
        <v>2801707</v>
      </c>
      <c r="J30" s="68">
        <f t="shared" si="0"/>
        <v>87500</v>
      </c>
      <c r="K30" s="68">
        <f t="shared" si="0"/>
        <v>251500</v>
      </c>
      <c r="L30" s="68">
        <f t="shared" si="0"/>
        <v>13114573</v>
      </c>
      <c r="M30" s="68">
        <f t="shared" si="0"/>
        <v>2200</v>
      </c>
      <c r="N30" s="68">
        <f t="shared" si="0"/>
        <v>0</v>
      </c>
      <c r="O30" s="68">
        <f t="shared" si="0"/>
        <v>0</v>
      </c>
    </row>
    <row r="31" spans="1:15" ht="24.75" customHeight="1" thickBot="1">
      <c r="A31" s="2" t="s">
        <v>134</v>
      </c>
      <c r="B31" s="226">
        <f>B30+C30+D30+E30+F30</f>
        <v>16257480</v>
      </c>
      <c r="C31" s="227"/>
      <c r="D31" s="227"/>
      <c r="E31" s="227"/>
      <c r="F31" s="227"/>
      <c r="G31" s="227"/>
      <c r="H31" s="228"/>
      <c r="I31" s="226">
        <f>SUM(I30:O30)</f>
        <v>16257480</v>
      </c>
      <c r="J31" s="227"/>
      <c r="K31" s="227"/>
      <c r="L31" s="227"/>
      <c r="M31" s="227"/>
      <c r="N31" s="227"/>
      <c r="O31" s="228"/>
    </row>
    <row r="33" spans="1:9" ht="15.75">
      <c r="A33" s="5"/>
      <c r="B33" s="6"/>
      <c r="C33" s="6"/>
      <c r="D33" s="6"/>
      <c r="E33" s="6"/>
      <c r="F33" s="6"/>
      <c r="G33" s="33"/>
      <c r="H33" s="33"/>
      <c r="I33" s="33"/>
    </row>
    <row r="34" spans="1:8" ht="15">
      <c r="A34" s="31"/>
      <c r="B34" s="6"/>
      <c r="C34" s="6"/>
      <c r="D34" s="6"/>
      <c r="E34" s="6"/>
      <c r="F34" s="6"/>
      <c r="G34" s="6"/>
      <c r="H34" s="6"/>
    </row>
    <row r="35" spans="1:15" ht="33.75" customHeight="1">
      <c r="A35" s="201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</row>
    <row r="36" spans="1:8" ht="15">
      <c r="A36" s="31"/>
      <c r="B36" s="6"/>
      <c r="C36" s="6"/>
      <c r="D36" s="6"/>
      <c r="E36" s="6"/>
      <c r="F36" s="6"/>
      <c r="G36" s="6"/>
      <c r="H36" s="6"/>
    </row>
  </sheetData>
  <sheetProtection/>
  <mergeCells count="21">
    <mergeCell ref="I31:O31"/>
    <mergeCell ref="E6:E7"/>
    <mergeCell ref="F6:F7"/>
    <mergeCell ref="M6:M7"/>
    <mergeCell ref="A35:O35"/>
    <mergeCell ref="H6:H7"/>
    <mergeCell ref="I6:I7"/>
    <mergeCell ref="J6:J7"/>
    <mergeCell ref="K6:K7"/>
    <mergeCell ref="G6:G7"/>
    <mergeCell ref="B31:H31"/>
    <mergeCell ref="D6:D7"/>
    <mergeCell ref="O6:O7"/>
    <mergeCell ref="N6:N7"/>
    <mergeCell ref="A2:O2"/>
    <mergeCell ref="A3:O3"/>
    <mergeCell ref="B5:H5"/>
    <mergeCell ref="I5:O5"/>
    <mergeCell ref="B6:B7"/>
    <mergeCell ref="C6:C7"/>
    <mergeCell ref="L6:L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64" sqref="N64"/>
    </sheetView>
  </sheetViews>
  <sheetFormatPr defaultColWidth="9.140625" defaultRowHeight="12.75"/>
  <cols>
    <col min="1" max="1" width="11.140625" style="65" customWidth="1"/>
    <col min="2" max="2" width="29.00390625" style="66" customWidth="1"/>
    <col min="3" max="3" width="17.140625" style="37" customWidth="1"/>
    <col min="4" max="4" width="16.7109375" style="153" customWidth="1"/>
    <col min="5" max="6" width="16.7109375" style="37" customWidth="1"/>
    <col min="7" max="7" width="14.421875" style="133" customWidth="1"/>
    <col min="8" max="9" width="16.7109375" style="123" customWidth="1"/>
    <col min="10" max="12" width="16.7109375" style="37" customWidth="1"/>
    <col min="13" max="14" width="16.7109375" style="133" customWidth="1"/>
    <col min="15" max="15" width="16.7109375" style="37" hidden="1" customWidth="1"/>
    <col min="16" max="16" width="16.421875" style="37" hidden="1" customWidth="1"/>
    <col min="17" max="17" width="10.421875" style="37" customWidth="1"/>
    <col min="18" max="16384" width="9.140625" style="37" customWidth="1"/>
  </cols>
  <sheetData>
    <row r="1" spans="1:17" ht="24.75" customHeight="1">
      <c r="A1" s="229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145" t="s">
        <v>15</v>
      </c>
      <c r="O1" s="36"/>
      <c r="P1" s="36"/>
      <c r="Q1" s="36"/>
    </row>
    <row r="2" spans="1:17" ht="20.25" customHeight="1">
      <c r="A2" s="36"/>
      <c r="B2" s="36"/>
      <c r="C2" s="36"/>
      <c r="D2" s="132"/>
      <c r="E2" s="36"/>
      <c r="F2" s="36"/>
      <c r="G2" s="132"/>
      <c r="H2" s="122"/>
      <c r="I2" s="122"/>
      <c r="J2" s="36"/>
      <c r="K2" s="36"/>
      <c r="L2" s="36"/>
      <c r="M2" s="132"/>
      <c r="N2" s="132"/>
      <c r="O2" s="36"/>
      <c r="P2" s="36"/>
      <c r="Q2" s="36"/>
    </row>
    <row r="3" spans="1:17" ht="20.25" customHeight="1">
      <c r="A3" s="36"/>
      <c r="B3" s="36"/>
      <c r="C3" s="36"/>
      <c r="D3" s="132"/>
      <c r="E3" s="36"/>
      <c r="F3" s="36"/>
      <c r="G3" s="132"/>
      <c r="H3" s="122"/>
      <c r="I3" s="122"/>
      <c r="J3" s="36"/>
      <c r="K3" s="36"/>
      <c r="L3" s="36"/>
      <c r="M3" s="132"/>
      <c r="N3" s="132"/>
      <c r="O3" s="36"/>
      <c r="P3" s="36"/>
      <c r="Q3" s="36"/>
    </row>
    <row r="4" spans="1:4" ht="18" customHeight="1">
      <c r="A4" s="101" t="s">
        <v>25</v>
      </c>
      <c r="B4" s="38"/>
      <c r="C4" s="38"/>
      <c r="D4" s="152"/>
    </row>
    <row r="5" spans="1:2" ht="15" customHeight="1">
      <c r="A5" s="39" t="s">
        <v>24</v>
      </c>
      <c r="B5" s="37"/>
    </row>
    <row r="6" spans="1:2" ht="16.5" customHeight="1">
      <c r="A6" s="34"/>
      <c r="B6" s="37"/>
    </row>
    <row r="7" spans="1:14" ht="15">
      <c r="A7" s="41"/>
      <c r="B7" s="41"/>
      <c r="C7" s="41"/>
      <c r="D7" s="154"/>
      <c r="E7" s="41"/>
      <c r="F7" s="41"/>
      <c r="G7" s="134"/>
      <c r="H7" s="124"/>
      <c r="I7" s="124"/>
      <c r="J7" s="41"/>
      <c r="K7" s="41"/>
      <c r="L7" s="41"/>
      <c r="M7" s="134"/>
      <c r="N7" s="146" t="s">
        <v>1</v>
      </c>
    </row>
    <row r="8" spans="1:14" ht="8.25" customHeight="1">
      <c r="A8" s="42"/>
      <c r="B8" s="42"/>
      <c r="C8" s="42"/>
      <c r="D8" s="135"/>
      <c r="E8" s="43"/>
      <c r="F8" s="43"/>
      <c r="G8" s="135"/>
      <c r="H8" s="125"/>
      <c r="I8" s="125"/>
      <c r="J8" s="43"/>
      <c r="K8" s="43"/>
      <c r="L8" s="43"/>
      <c r="M8" s="135"/>
      <c r="N8" s="135"/>
    </row>
    <row r="9" spans="1:16" ht="9.75" customHeight="1">
      <c r="A9" s="42"/>
      <c r="B9" s="42"/>
      <c r="C9" s="42"/>
      <c r="D9" s="136"/>
      <c r="E9" s="42"/>
      <c r="F9" s="42"/>
      <c r="G9" s="136"/>
      <c r="H9" s="126"/>
      <c r="I9" s="126"/>
      <c r="J9" s="42"/>
      <c r="K9" s="42"/>
      <c r="L9" s="42"/>
      <c r="N9" s="147"/>
      <c r="O9" s="42"/>
      <c r="P9" s="42"/>
    </row>
    <row r="10" spans="1:16" s="40" customFormat="1" ht="90">
      <c r="A10" s="44" t="s">
        <v>20</v>
      </c>
      <c r="B10" s="44" t="s">
        <v>96</v>
      </c>
      <c r="C10" s="45" t="s">
        <v>137</v>
      </c>
      <c r="D10" s="148" t="s">
        <v>102</v>
      </c>
      <c r="E10" s="158" t="s">
        <v>5</v>
      </c>
      <c r="F10" s="158" t="s">
        <v>6</v>
      </c>
      <c r="G10" s="148" t="s">
        <v>7</v>
      </c>
      <c r="H10" s="159" t="s">
        <v>115</v>
      </c>
      <c r="I10" s="159" t="s">
        <v>121</v>
      </c>
      <c r="J10" s="158" t="s">
        <v>8</v>
      </c>
      <c r="K10" s="45" t="s">
        <v>83</v>
      </c>
      <c r="L10" s="45" t="s">
        <v>81</v>
      </c>
      <c r="M10" s="148" t="s">
        <v>111</v>
      </c>
      <c r="N10" s="148" t="s">
        <v>138</v>
      </c>
      <c r="O10" s="46" t="s">
        <v>9</v>
      </c>
      <c r="P10" s="46" t="s">
        <v>10</v>
      </c>
    </row>
    <row r="11" spans="1:16" s="40" customFormat="1" ht="15">
      <c r="A11" s="102">
        <v>3</v>
      </c>
      <c r="B11" s="102" t="s">
        <v>97</v>
      </c>
      <c r="C11" s="103"/>
      <c r="D11" s="137"/>
      <c r="E11" s="104"/>
      <c r="F11" s="104"/>
      <c r="G11" s="137"/>
      <c r="H11" s="127"/>
      <c r="I11" s="127"/>
      <c r="J11" s="104"/>
      <c r="K11" s="104"/>
      <c r="L11" s="104"/>
      <c r="M11" s="149"/>
      <c r="N11" s="149"/>
      <c r="O11" s="105"/>
      <c r="P11" s="105"/>
    </row>
    <row r="12" spans="1:16" ht="14.25" customHeight="1">
      <c r="A12" s="47">
        <v>31</v>
      </c>
      <c r="B12" s="47" t="s">
        <v>26</v>
      </c>
      <c r="C12" s="48">
        <f>SUM(D12:L12)</f>
        <v>13209564.820000002</v>
      </c>
      <c r="D12" s="138">
        <f>SUM(D14:D17)</f>
        <v>588292.8400000001</v>
      </c>
      <c r="E12" s="48">
        <f aca="true" t="shared" si="0" ref="E12:L12">SUM(E14:E17)</f>
        <v>6000</v>
      </c>
      <c r="F12" s="48">
        <f t="shared" si="0"/>
        <v>0</v>
      </c>
      <c r="G12" s="138">
        <f>SUM(G14:G17)</f>
        <v>12534183.540000003</v>
      </c>
      <c r="H12" s="138">
        <f>SUM(H14:H17)</f>
        <v>42213.24</v>
      </c>
      <c r="I12" s="138">
        <f>SUM(I14:I17)</f>
        <v>38875.2</v>
      </c>
      <c r="J12" s="48">
        <f t="shared" si="0"/>
        <v>0</v>
      </c>
      <c r="K12" s="48">
        <f t="shared" si="0"/>
        <v>0</v>
      </c>
      <c r="L12" s="48">
        <f t="shared" si="0"/>
        <v>0</v>
      </c>
      <c r="M12" s="138">
        <f>D12+E12+G12</f>
        <v>13128476.380000003</v>
      </c>
      <c r="N12" s="138">
        <f>D12+E12+G12</f>
        <v>13128476.380000003</v>
      </c>
      <c r="O12" s="49">
        <f>SUM(O13:O20)</f>
        <v>0</v>
      </c>
      <c r="P12" s="49">
        <f>SUM(P13:P20)</f>
        <v>0</v>
      </c>
    </row>
    <row r="13" spans="1:16" ht="14.25" customHeight="1">
      <c r="A13" s="50">
        <v>311</v>
      </c>
      <c r="B13" s="51" t="s">
        <v>27</v>
      </c>
      <c r="C13" s="48"/>
      <c r="D13" s="139"/>
      <c r="E13" s="52"/>
      <c r="F13" s="52"/>
      <c r="G13" s="139"/>
      <c r="H13" s="128"/>
      <c r="I13" s="128"/>
      <c r="J13" s="52"/>
      <c r="K13" s="52"/>
      <c r="L13" s="52"/>
      <c r="M13" s="139"/>
      <c r="N13" s="139"/>
      <c r="O13" s="37">
        <v>0</v>
      </c>
      <c r="P13" s="37">
        <v>0</v>
      </c>
    </row>
    <row r="14" spans="1:16" ht="14.25" customHeight="1">
      <c r="A14" s="50">
        <v>3111</v>
      </c>
      <c r="B14" s="53" t="s">
        <v>28</v>
      </c>
      <c r="C14" s="60">
        <f>SUM(D14:L14)</f>
        <v>10861116.14</v>
      </c>
      <c r="D14" s="139">
        <f>170000+200969.28+98563.56</f>
        <v>469532.84</v>
      </c>
      <c r="E14" s="52"/>
      <c r="F14" s="52"/>
      <c r="G14" s="139">
        <f>10007292.72+73795.8+241250</f>
        <v>10322338.520000001</v>
      </c>
      <c r="H14" s="139">
        <f>3289.11+26890.18+5838.82</f>
        <v>36018.11</v>
      </c>
      <c r="I14" s="139">
        <f>13215.73+20010.94</f>
        <v>33226.67</v>
      </c>
      <c r="J14" s="52"/>
      <c r="K14" s="52"/>
      <c r="L14" s="52"/>
      <c r="M14" s="139"/>
      <c r="N14" s="139"/>
      <c r="O14" s="37">
        <v>0</v>
      </c>
      <c r="P14" s="37">
        <v>0</v>
      </c>
    </row>
    <row r="15" spans="1:16" ht="14.25" customHeight="1">
      <c r="A15" s="50">
        <v>3121</v>
      </c>
      <c r="B15" s="51" t="s">
        <v>29</v>
      </c>
      <c r="C15" s="60">
        <f>SUM(D15:L15)</f>
        <v>515883.96</v>
      </c>
      <c r="D15" s="139">
        <f>35000+3000</f>
        <v>38000</v>
      </c>
      <c r="E15" s="52">
        <v>6000</v>
      </c>
      <c r="F15" s="52"/>
      <c r="G15" s="139">
        <f>67715.32+34000+47852.12+15591.88+120000+132500+14612.64+6652+12960+20000</f>
        <v>471883.96</v>
      </c>
      <c r="H15" s="139"/>
      <c r="I15" s="139"/>
      <c r="J15" s="52"/>
      <c r="K15" s="52"/>
      <c r="L15" s="52"/>
      <c r="M15" s="139"/>
      <c r="N15" s="139"/>
      <c r="O15" s="37">
        <v>0</v>
      </c>
      <c r="P15" s="37">
        <v>0</v>
      </c>
    </row>
    <row r="16" spans="1:14" ht="14.25" customHeight="1">
      <c r="A16" s="50">
        <v>3132</v>
      </c>
      <c r="B16" s="51" t="s">
        <v>30</v>
      </c>
      <c r="C16" s="60">
        <f>SUM(D16:L16)</f>
        <v>1651349.4800000002</v>
      </c>
      <c r="D16" s="139">
        <f>31150.32+26350.2+15277.32</f>
        <v>72777.84</v>
      </c>
      <c r="E16" s="52"/>
      <c r="F16" s="52"/>
      <c r="G16" s="139">
        <f>1519156.32+11438.4+37394.1</f>
        <v>1567988.82</v>
      </c>
      <c r="H16" s="139">
        <f>509.82+4167.98+905.02</f>
        <v>5582.82</v>
      </c>
      <c r="I16" s="139">
        <f>2000+3000</f>
        <v>5000</v>
      </c>
      <c r="J16" s="52"/>
      <c r="K16" s="52"/>
      <c r="L16" s="52"/>
      <c r="M16" s="139"/>
      <c r="N16" s="139"/>
    </row>
    <row r="17" spans="1:14" ht="14.25" customHeight="1">
      <c r="A17" s="50">
        <v>3133</v>
      </c>
      <c r="B17" s="51" t="s">
        <v>31</v>
      </c>
      <c r="C17" s="60">
        <f>SUM(D17:L17)</f>
        <v>181215.24000000002</v>
      </c>
      <c r="D17" s="139">
        <f>3416.4+2890.2+1675.56</f>
        <v>7982.16</v>
      </c>
      <c r="E17" s="52"/>
      <c r="F17" s="52"/>
      <c r="G17" s="139">
        <f>166616.16+1254.48+4101.6</f>
        <v>171972.24000000002</v>
      </c>
      <c r="H17" s="139">
        <f>55.91+457.14+99.26</f>
        <v>612.31</v>
      </c>
      <c r="I17" s="139">
        <f>246.67+401.86</f>
        <v>648.53</v>
      </c>
      <c r="J17" s="52"/>
      <c r="K17" s="52"/>
      <c r="L17" s="52"/>
      <c r="M17" s="139"/>
      <c r="N17" s="139"/>
    </row>
    <row r="18" spans="1:14" ht="14.25" customHeight="1" hidden="1">
      <c r="A18" s="50"/>
      <c r="B18" s="51"/>
      <c r="C18" s="52"/>
      <c r="D18" s="139"/>
      <c r="E18" s="52"/>
      <c r="F18" s="52"/>
      <c r="G18" s="139"/>
      <c r="H18" s="128"/>
      <c r="I18" s="128"/>
      <c r="J18" s="52"/>
      <c r="K18" s="52"/>
      <c r="L18" s="52"/>
      <c r="M18" s="139"/>
      <c r="N18" s="139"/>
    </row>
    <row r="19" spans="1:16" ht="14.25" customHeight="1">
      <c r="A19" s="50"/>
      <c r="B19" s="54"/>
      <c r="C19" s="52"/>
      <c r="D19" s="139"/>
      <c r="E19" s="52"/>
      <c r="F19" s="52"/>
      <c r="G19" s="139"/>
      <c r="H19" s="128"/>
      <c r="I19" s="128"/>
      <c r="J19" s="52"/>
      <c r="K19" s="52"/>
      <c r="L19" s="52"/>
      <c r="M19" s="139"/>
      <c r="N19" s="139"/>
      <c r="O19" s="37">
        <v>0</v>
      </c>
      <c r="P19" s="37">
        <v>0</v>
      </c>
    </row>
    <row r="20" spans="1:16" ht="14.25" customHeight="1">
      <c r="A20" s="55">
        <v>32</v>
      </c>
      <c r="B20" s="69" t="s">
        <v>32</v>
      </c>
      <c r="C20" s="56">
        <f aca="true" t="shared" si="1" ref="C20:C46">SUM(D20:L20)</f>
        <v>2894254.32</v>
      </c>
      <c r="D20" s="140">
        <f aca="true" t="shared" si="2" ref="D20:L20">SUM(D21:D46)</f>
        <v>1651613.5899999999</v>
      </c>
      <c r="E20" s="56">
        <f t="shared" si="2"/>
        <v>58700</v>
      </c>
      <c r="F20" s="56">
        <f t="shared" si="2"/>
        <v>251500</v>
      </c>
      <c r="G20" s="140">
        <f t="shared" si="2"/>
        <v>572389.1799999999</v>
      </c>
      <c r="H20" s="140">
        <f>SUM(H21:H46)</f>
        <v>42435.47</v>
      </c>
      <c r="I20" s="140">
        <f>SUM(I21:I46)</f>
        <v>315416.07999999996</v>
      </c>
      <c r="J20" s="56">
        <f t="shared" si="2"/>
        <v>2200</v>
      </c>
      <c r="K20" s="56">
        <f t="shared" si="2"/>
        <v>0</v>
      </c>
      <c r="L20" s="56">
        <f t="shared" si="2"/>
        <v>0</v>
      </c>
      <c r="M20" s="140">
        <f>D20+E20+F20+G20+J20+20301</f>
        <v>2556703.7699999996</v>
      </c>
      <c r="N20" s="140">
        <f>D20+E20+F20+G20+J20+20301</f>
        <v>2556703.7699999996</v>
      </c>
      <c r="O20" s="37">
        <v>0</v>
      </c>
      <c r="P20" s="37">
        <v>0</v>
      </c>
    </row>
    <row r="21" spans="1:16" ht="14.25" customHeight="1">
      <c r="A21" s="50">
        <v>3211</v>
      </c>
      <c r="B21" s="51" t="s">
        <v>33</v>
      </c>
      <c r="C21" s="52">
        <f t="shared" si="1"/>
        <v>64260</v>
      </c>
      <c r="D21" s="139">
        <f>50000+5000</f>
        <v>55000</v>
      </c>
      <c r="E21" s="52">
        <v>1000</v>
      </c>
      <c r="F21" s="52"/>
      <c r="G21" s="139">
        <f>3500+2000+2250</f>
        <v>7750</v>
      </c>
      <c r="H21" s="139"/>
      <c r="I21" s="139"/>
      <c r="J21" s="52">
        <v>510</v>
      </c>
      <c r="K21" s="52"/>
      <c r="L21" s="52"/>
      <c r="M21" s="139"/>
      <c r="N21" s="139"/>
      <c r="O21" s="49">
        <f>SUM(O22:O74)</f>
        <v>0</v>
      </c>
      <c r="P21" s="49">
        <f>SUM(P22:P74)</f>
        <v>0</v>
      </c>
    </row>
    <row r="22" spans="1:16" ht="14.25" customHeight="1">
      <c r="A22" s="50">
        <v>3212</v>
      </c>
      <c r="B22" s="51" t="s">
        <v>34</v>
      </c>
      <c r="C22" s="52">
        <f t="shared" si="1"/>
        <v>313720</v>
      </c>
      <c r="D22" s="139">
        <f>10320+2400+12500</f>
        <v>25220</v>
      </c>
      <c r="E22" s="52"/>
      <c r="F22" s="52"/>
      <c r="G22" s="139">
        <f>264000+3000+21500</f>
        <v>288500</v>
      </c>
      <c r="H22" s="139"/>
      <c r="I22" s="139"/>
      <c r="J22" s="52"/>
      <c r="K22" s="52"/>
      <c r="L22" s="52"/>
      <c r="M22" s="139"/>
      <c r="N22" s="139"/>
      <c r="O22" s="37">
        <v>0</v>
      </c>
      <c r="P22" s="37">
        <v>0</v>
      </c>
    </row>
    <row r="23" spans="1:16" ht="14.25" customHeight="1">
      <c r="A23" s="50">
        <v>3213</v>
      </c>
      <c r="B23" s="51" t="s">
        <v>35</v>
      </c>
      <c r="C23" s="52">
        <f t="shared" si="1"/>
        <v>12000</v>
      </c>
      <c r="D23" s="139">
        <f>9000+2000</f>
        <v>11000</v>
      </c>
      <c r="E23" s="52">
        <v>1000</v>
      </c>
      <c r="F23" s="52"/>
      <c r="G23" s="139"/>
      <c r="H23" s="139"/>
      <c r="I23" s="139"/>
      <c r="J23" s="52"/>
      <c r="K23" s="52"/>
      <c r="L23" s="52"/>
      <c r="M23" s="139"/>
      <c r="N23" s="139"/>
      <c r="O23" s="37">
        <v>0</v>
      </c>
      <c r="P23" s="37">
        <v>0</v>
      </c>
    </row>
    <row r="24" spans="1:14" ht="14.25" customHeight="1">
      <c r="A24" s="50">
        <v>3214</v>
      </c>
      <c r="B24" s="51" t="s">
        <v>36</v>
      </c>
      <c r="C24" s="52">
        <f t="shared" si="1"/>
        <v>10500</v>
      </c>
      <c r="D24" s="139">
        <f>10000</f>
        <v>10000</v>
      </c>
      <c r="E24" s="52">
        <v>500</v>
      </c>
      <c r="F24" s="52"/>
      <c r="G24" s="139"/>
      <c r="H24" s="139"/>
      <c r="I24" s="139"/>
      <c r="J24" s="52"/>
      <c r="K24" s="52"/>
      <c r="L24" s="52"/>
      <c r="M24" s="139"/>
      <c r="N24" s="139"/>
    </row>
    <row r="25" spans="1:14" ht="14.25" customHeight="1">
      <c r="A25" s="50">
        <v>3221</v>
      </c>
      <c r="B25" s="51" t="s">
        <v>37</v>
      </c>
      <c r="C25" s="52">
        <f t="shared" si="1"/>
        <v>179900</v>
      </c>
      <c r="D25" s="139">
        <f>142000+2000</f>
        <v>144000</v>
      </c>
      <c r="E25" s="52">
        <v>8000</v>
      </c>
      <c r="F25" s="52">
        <f>6500</f>
        <v>6500</v>
      </c>
      <c r="G25" s="139">
        <f>2200+2000+2000</f>
        <v>6200</v>
      </c>
      <c r="H25" s="139">
        <v>15000</v>
      </c>
      <c r="I25" s="139"/>
      <c r="J25" s="52">
        <v>200</v>
      </c>
      <c r="K25" s="52"/>
      <c r="L25" s="52"/>
      <c r="M25" s="139"/>
      <c r="N25" s="139"/>
    </row>
    <row r="26" spans="1:14" ht="14.25" customHeight="1">
      <c r="A26" s="50">
        <v>3222</v>
      </c>
      <c r="B26" s="51" t="s">
        <v>122</v>
      </c>
      <c r="C26" s="52">
        <f t="shared" si="1"/>
        <v>306093.58999999997</v>
      </c>
      <c r="D26" s="139">
        <v>76093.59</v>
      </c>
      <c r="E26" s="52"/>
      <c r="F26" s="52">
        <f>230000</f>
        <v>230000</v>
      </c>
      <c r="G26" s="139"/>
      <c r="H26" s="139"/>
      <c r="I26" s="139"/>
      <c r="J26" s="52"/>
      <c r="K26" s="52"/>
      <c r="L26" s="52"/>
      <c r="M26" s="139"/>
      <c r="N26" s="139"/>
    </row>
    <row r="27" spans="1:14" ht="14.25" customHeight="1">
      <c r="A27" s="50">
        <v>3223</v>
      </c>
      <c r="B27" s="51" t="s">
        <v>38</v>
      </c>
      <c r="C27" s="52">
        <f t="shared" si="1"/>
        <v>357500</v>
      </c>
      <c r="D27" s="139">
        <f>350000</f>
        <v>350000</v>
      </c>
      <c r="E27" s="52">
        <v>500</v>
      </c>
      <c r="F27" s="52">
        <f>2000</f>
        <v>2000</v>
      </c>
      <c r="G27" s="139"/>
      <c r="H27" s="139">
        <v>5000</v>
      </c>
      <c r="I27" s="139"/>
      <c r="J27" s="52"/>
      <c r="K27" s="52"/>
      <c r="L27" s="52"/>
      <c r="M27" s="139"/>
      <c r="N27" s="139"/>
    </row>
    <row r="28" spans="1:14" ht="14.25" customHeight="1">
      <c r="A28" s="50">
        <v>3224</v>
      </c>
      <c r="B28" s="51" t="s">
        <v>39</v>
      </c>
      <c r="C28" s="52">
        <f t="shared" si="1"/>
        <v>15000</v>
      </c>
      <c r="D28" s="139">
        <f>10000</f>
        <v>10000</v>
      </c>
      <c r="E28" s="52">
        <v>5000</v>
      </c>
      <c r="F28" s="52"/>
      <c r="G28" s="139"/>
      <c r="H28" s="139"/>
      <c r="I28" s="139"/>
      <c r="J28" s="52"/>
      <c r="K28" s="52"/>
      <c r="L28" s="52"/>
      <c r="M28" s="139"/>
      <c r="N28" s="139"/>
    </row>
    <row r="29" spans="1:14" ht="14.25" customHeight="1">
      <c r="A29" s="50">
        <v>3225</v>
      </c>
      <c r="B29" s="51" t="s">
        <v>40</v>
      </c>
      <c r="C29" s="52">
        <f t="shared" si="1"/>
        <v>41000</v>
      </c>
      <c r="D29" s="139">
        <f>29000</f>
        <v>29000</v>
      </c>
      <c r="E29" s="52">
        <v>4000</v>
      </c>
      <c r="F29" s="52">
        <v>3000</v>
      </c>
      <c r="G29" s="139"/>
      <c r="H29" s="139">
        <v>5000</v>
      </c>
      <c r="I29" s="139"/>
      <c r="J29" s="52"/>
      <c r="K29" s="52"/>
      <c r="L29" s="52"/>
      <c r="M29" s="139"/>
      <c r="N29" s="139"/>
    </row>
    <row r="30" spans="1:14" ht="14.25" customHeight="1">
      <c r="A30" s="50">
        <v>3227</v>
      </c>
      <c r="B30" s="51" t="s">
        <v>41</v>
      </c>
      <c r="C30" s="52">
        <f t="shared" si="1"/>
        <v>12000</v>
      </c>
      <c r="D30" s="139">
        <f>9000</f>
        <v>9000</v>
      </c>
      <c r="E30" s="52">
        <v>1000</v>
      </c>
      <c r="F30" s="52">
        <v>2000</v>
      </c>
      <c r="G30" s="139"/>
      <c r="H30" s="139"/>
      <c r="I30" s="139"/>
      <c r="J30" s="52"/>
      <c r="K30" s="52"/>
      <c r="L30" s="52"/>
      <c r="M30" s="139"/>
      <c r="N30" s="139"/>
    </row>
    <row r="31" spans="1:14" ht="14.25" customHeight="1">
      <c r="A31" s="50">
        <v>3231</v>
      </c>
      <c r="B31" s="51" t="s">
        <v>42</v>
      </c>
      <c r="C31" s="52">
        <f t="shared" si="1"/>
        <v>42425.47</v>
      </c>
      <c r="D31" s="139">
        <f>37000</f>
        <v>37000</v>
      </c>
      <c r="E31" s="52">
        <v>2000</v>
      </c>
      <c r="F31" s="52"/>
      <c r="G31" s="139"/>
      <c r="H31" s="139">
        <v>2435.47</v>
      </c>
      <c r="I31" s="139"/>
      <c r="J31" s="52">
        <v>990</v>
      </c>
      <c r="K31" s="52"/>
      <c r="L31" s="52"/>
      <c r="M31" s="139"/>
      <c r="N31" s="139"/>
    </row>
    <row r="32" spans="1:14" ht="14.25" customHeight="1">
      <c r="A32" s="50">
        <v>3232</v>
      </c>
      <c r="B32" s="51" t="s">
        <v>43</v>
      </c>
      <c r="C32" s="52">
        <f t="shared" si="1"/>
        <v>455000</v>
      </c>
      <c r="D32" s="139">
        <f>450000</f>
        <v>450000</v>
      </c>
      <c r="E32" s="52">
        <v>5000</v>
      </c>
      <c r="F32" s="52"/>
      <c r="G32" s="139"/>
      <c r="H32" s="139"/>
      <c r="I32" s="139"/>
      <c r="J32" s="52"/>
      <c r="K32" s="52"/>
      <c r="L32" s="52"/>
      <c r="M32" s="139"/>
      <c r="N32" s="139"/>
    </row>
    <row r="33" spans="1:14" ht="14.25" customHeight="1">
      <c r="A33" s="50">
        <v>3233</v>
      </c>
      <c r="B33" s="51" t="s">
        <v>44</v>
      </c>
      <c r="C33" s="52">
        <f t="shared" si="1"/>
        <v>13625</v>
      </c>
      <c r="D33" s="139">
        <f>3500</f>
        <v>3500</v>
      </c>
      <c r="E33" s="52">
        <v>4000</v>
      </c>
      <c r="F33" s="52"/>
      <c r="G33" s="139"/>
      <c r="H33" s="139"/>
      <c r="I33" s="139">
        <f>3000+3125</f>
        <v>6125</v>
      </c>
      <c r="J33" s="52"/>
      <c r="K33" s="52"/>
      <c r="L33" s="52"/>
      <c r="M33" s="139"/>
      <c r="N33" s="139"/>
    </row>
    <row r="34" spans="1:14" ht="14.25" customHeight="1">
      <c r="A34" s="50">
        <v>3234</v>
      </c>
      <c r="B34" s="51" t="s">
        <v>45</v>
      </c>
      <c r="C34" s="52">
        <f t="shared" si="1"/>
        <v>100000</v>
      </c>
      <c r="D34" s="139">
        <f>91000</f>
        <v>91000</v>
      </c>
      <c r="E34" s="52">
        <v>2000</v>
      </c>
      <c r="F34" s="52">
        <v>2000</v>
      </c>
      <c r="G34" s="139"/>
      <c r="H34" s="139">
        <v>5000</v>
      </c>
      <c r="I34" s="139"/>
      <c r="J34" s="52"/>
      <c r="K34" s="52"/>
      <c r="L34" s="52"/>
      <c r="M34" s="139"/>
      <c r="N34" s="139"/>
    </row>
    <row r="35" spans="1:14" ht="14.25" customHeight="1">
      <c r="A35" s="50">
        <v>3235</v>
      </c>
      <c r="B35" s="51" t="s">
        <v>46</v>
      </c>
      <c r="C35" s="52">
        <f t="shared" si="1"/>
        <v>33339.6</v>
      </c>
      <c r="D35" s="139"/>
      <c r="E35" s="52"/>
      <c r="F35" s="52"/>
      <c r="G35" s="139"/>
      <c r="H35" s="139"/>
      <c r="I35" s="139">
        <v>33339.6</v>
      </c>
      <c r="J35" s="52"/>
      <c r="K35" s="52"/>
      <c r="L35" s="52"/>
      <c r="M35" s="139"/>
      <c r="N35" s="139"/>
    </row>
    <row r="36" spans="1:14" ht="14.25" customHeight="1">
      <c r="A36" s="50">
        <v>3236</v>
      </c>
      <c r="B36" s="51" t="s">
        <v>47</v>
      </c>
      <c r="C36" s="52">
        <f t="shared" si="1"/>
        <v>34500</v>
      </c>
      <c r="D36" s="139">
        <f>27000</f>
        <v>27000</v>
      </c>
      <c r="E36" s="52">
        <v>5500</v>
      </c>
      <c r="F36" s="52">
        <v>2000</v>
      </c>
      <c r="G36" s="139"/>
      <c r="H36" s="139"/>
      <c r="I36" s="139"/>
      <c r="J36" s="52"/>
      <c r="K36" s="52"/>
      <c r="L36" s="52"/>
      <c r="M36" s="139"/>
      <c r="N36" s="139"/>
    </row>
    <row r="37" spans="1:14" ht="14.25" customHeight="1">
      <c r="A37" s="50">
        <v>3237</v>
      </c>
      <c r="B37" s="51" t="s">
        <v>48</v>
      </c>
      <c r="C37" s="52">
        <f t="shared" si="1"/>
        <v>224225</v>
      </c>
      <c r="D37" s="139">
        <f>92000</f>
        <v>92000</v>
      </c>
      <c r="E37" s="52">
        <v>5000</v>
      </c>
      <c r="F37" s="52"/>
      <c r="G37" s="139">
        <f>2000</f>
        <v>2000</v>
      </c>
      <c r="H37" s="139"/>
      <c r="I37" s="139">
        <f>35700+5587.5+35000+48937.5</f>
        <v>125225</v>
      </c>
      <c r="J37" s="52"/>
      <c r="K37" s="52"/>
      <c r="L37" s="52"/>
      <c r="M37" s="139"/>
      <c r="N37" s="139"/>
    </row>
    <row r="38" spans="1:14" ht="14.25" customHeight="1">
      <c r="A38" s="50">
        <v>3238</v>
      </c>
      <c r="B38" s="51" t="s">
        <v>49</v>
      </c>
      <c r="C38" s="52">
        <f t="shared" si="1"/>
        <v>119385</v>
      </c>
      <c r="D38" s="139">
        <f>25000+3000</f>
        <v>28000</v>
      </c>
      <c r="E38" s="52">
        <v>2000</v>
      </c>
      <c r="F38" s="52"/>
      <c r="G38" s="139"/>
      <c r="H38" s="139"/>
      <c r="I38" s="139">
        <f>81000+5760+2625</f>
        <v>89385</v>
      </c>
      <c r="J38" s="52"/>
      <c r="K38" s="52"/>
      <c r="L38" s="52"/>
      <c r="M38" s="139"/>
      <c r="N38" s="139"/>
    </row>
    <row r="39" spans="1:14" ht="14.25" customHeight="1">
      <c r="A39" s="50">
        <v>3239</v>
      </c>
      <c r="B39" s="51" t="s">
        <v>50</v>
      </c>
      <c r="C39" s="52">
        <f t="shared" si="1"/>
        <v>314939.18</v>
      </c>
      <c r="D39" s="139">
        <f>83000+70000+2000</f>
        <v>155000</v>
      </c>
      <c r="E39" s="52">
        <v>5000</v>
      </c>
      <c r="F39" s="52">
        <v>2000</v>
      </c>
      <c r="G39" s="139">
        <f>2000+150939.18</f>
        <v>152939.18</v>
      </c>
      <c r="H39" s="139"/>
      <c r="I39" s="139"/>
      <c r="J39" s="52"/>
      <c r="K39" s="52"/>
      <c r="L39" s="52"/>
      <c r="M39" s="139"/>
      <c r="N39" s="139"/>
    </row>
    <row r="40" spans="1:14" ht="14.25" customHeight="1">
      <c r="A40" s="50">
        <v>3241</v>
      </c>
      <c r="B40" s="51" t="s">
        <v>51</v>
      </c>
      <c r="C40" s="52">
        <f t="shared" si="1"/>
        <v>76108</v>
      </c>
      <c r="D40" s="139">
        <f>2000</f>
        <v>2000</v>
      </c>
      <c r="E40" s="52">
        <v>3000</v>
      </c>
      <c r="F40" s="52"/>
      <c r="G40" s="139">
        <f>65000</f>
        <v>65000</v>
      </c>
      <c r="H40" s="139"/>
      <c r="I40" s="139">
        <f>4158+1950</f>
        <v>6108</v>
      </c>
      <c r="J40" s="52"/>
      <c r="K40" s="52"/>
      <c r="L40" s="52"/>
      <c r="M40" s="139"/>
      <c r="N40" s="139"/>
    </row>
    <row r="41" spans="1:14" ht="14.25" customHeight="1">
      <c r="A41" s="50">
        <v>3291</v>
      </c>
      <c r="B41" s="51" t="s">
        <v>52</v>
      </c>
      <c r="C41" s="52">
        <f t="shared" si="1"/>
        <v>5000</v>
      </c>
      <c r="D41" s="139"/>
      <c r="E41" s="52"/>
      <c r="F41" s="52"/>
      <c r="G41" s="139">
        <f>5000</f>
        <v>5000</v>
      </c>
      <c r="H41" s="139"/>
      <c r="I41" s="139"/>
      <c r="J41" s="52"/>
      <c r="K41" s="52"/>
      <c r="L41" s="52"/>
      <c r="M41" s="139"/>
      <c r="N41" s="139"/>
    </row>
    <row r="42" spans="1:14" ht="14.25" customHeight="1">
      <c r="A42" s="50">
        <v>3292</v>
      </c>
      <c r="B42" s="51" t="s">
        <v>53</v>
      </c>
      <c r="C42" s="52">
        <f t="shared" si="1"/>
        <v>32500</v>
      </c>
      <c r="D42" s="139">
        <f>32000</f>
        <v>32000</v>
      </c>
      <c r="E42" s="52">
        <v>500</v>
      </c>
      <c r="F42" s="52"/>
      <c r="G42" s="139"/>
      <c r="H42" s="139"/>
      <c r="I42" s="139"/>
      <c r="J42" s="52"/>
      <c r="K42" s="52"/>
      <c r="L42" s="52"/>
      <c r="M42" s="139"/>
      <c r="N42" s="139"/>
    </row>
    <row r="43" spans="1:14" ht="14.25" customHeight="1">
      <c r="A43" s="50">
        <v>3293</v>
      </c>
      <c r="B43" s="51" t="s">
        <v>54</v>
      </c>
      <c r="C43" s="52">
        <f t="shared" si="1"/>
        <v>7000</v>
      </c>
      <c r="D43" s="139">
        <f>1500</f>
        <v>1500</v>
      </c>
      <c r="E43" s="52">
        <v>500</v>
      </c>
      <c r="F43" s="52"/>
      <c r="G43" s="139"/>
      <c r="H43" s="139"/>
      <c r="I43" s="139">
        <f>5000</f>
        <v>5000</v>
      </c>
      <c r="J43" s="52"/>
      <c r="K43" s="52"/>
      <c r="L43" s="52"/>
      <c r="M43" s="139"/>
      <c r="N43" s="139"/>
    </row>
    <row r="44" spans="1:14" ht="14.25" customHeight="1">
      <c r="A44" s="50">
        <v>3294</v>
      </c>
      <c r="B44" s="51" t="s">
        <v>55</v>
      </c>
      <c r="C44" s="52">
        <f t="shared" si="1"/>
        <v>1500</v>
      </c>
      <c r="D44" s="139">
        <f>1300</f>
        <v>1300</v>
      </c>
      <c r="E44" s="52">
        <v>200</v>
      </c>
      <c r="F44" s="52"/>
      <c r="G44" s="139"/>
      <c r="H44" s="139"/>
      <c r="I44" s="139"/>
      <c r="J44" s="52"/>
      <c r="K44" s="52"/>
      <c r="L44" s="52"/>
      <c r="M44" s="139"/>
      <c r="N44" s="139"/>
    </row>
    <row r="45" spans="1:14" ht="14.25" customHeight="1">
      <c r="A45" s="50">
        <v>3295</v>
      </c>
      <c r="B45" s="51" t="s">
        <v>56</v>
      </c>
      <c r="C45" s="52">
        <f t="shared" si="1"/>
        <v>39000</v>
      </c>
      <c r="D45" s="139"/>
      <c r="E45" s="52">
        <v>2000</v>
      </c>
      <c r="F45" s="52"/>
      <c r="G45" s="139">
        <v>37000</v>
      </c>
      <c r="H45" s="139"/>
      <c r="I45" s="139"/>
      <c r="J45" s="52"/>
      <c r="K45" s="52"/>
      <c r="L45" s="52"/>
      <c r="M45" s="139"/>
      <c r="N45" s="139"/>
    </row>
    <row r="46" spans="1:14" ht="14.25" customHeight="1">
      <c r="A46" s="50">
        <v>3299</v>
      </c>
      <c r="B46" s="51" t="s">
        <v>57</v>
      </c>
      <c r="C46" s="52">
        <f t="shared" si="1"/>
        <v>83733.48000000001</v>
      </c>
      <c r="D46" s="139">
        <f>10000+2000</f>
        <v>12000</v>
      </c>
      <c r="E46" s="52">
        <v>1000</v>
      </c>
      <c r="F46" s="52">
        <v>2000</v>
      </c>
      <c r="G46" s="139">
        <f>2000+6000</f>
        <v>8000</v>
      </c>
      <c r="H46" s="139">
        <v>10000</v>
      </c>
      <c r="I46" s="139">
        <f>4000+46233.48</f>
        <v>50233.48</v>
      </c>
      <c r="J46" s="52">
        <v>500</v>
      </c>
      <c r="K46" s="52"/>
      <c r="L46" s="52"/>
      <c r="M46" s="139"/>
      <c r="N46" s="139"/>
    </row>
    <row r="47" spans="1:14" ht="14.25" customHeight="1" hidden="1">
      <c r="A47" s="50"/>
      <c r="B47" s="51"/>
      <c r="C47" s="52"/>
      <c r="D47" s="139"/>
      <c r="E47" s="52"/>
      <c r="F47" s="52"/>
      <c r="G47" s="139"/>
      <c r="H47" s="128"/>
      <c r="I47" s="128"/>
      <c r="J47" s="52"/>
      <c r="K47" s="52"/>
      <c r="L47" s="52"/>
      <c r="M47" s="139"/>
      <c r="N47" s="139"/>
    </row>
    <row r="48" spans="1:14" ht="14.25" customHeight="1" hidden="1">
      <c r="A48" s="50"/>
      <c r="B48" s="51"/>
      <c r="C48" s="52"/>
      <c r="D48" s="139"/>
      <c r="E48" s="52"/>
      <c r="F48" s="52"/>
      <c r="G48" s="139"/>
      <c r="H48" s="128"/>
      <c r="I48" s="128"/>
      <c r="J48" s="52"/>
      <c r="K48" s="52"/>
      <c r="L48" s="52"/>
      <c r="M48" s="139"/>
      <c r="N48" s="139"/>
    </row>
    <row r="49" spans="1:16" ht="14.25" customHeight="1">
      <c r="A49" s="50"/>
      <c r="B49" s="51"/>
      <c r="C49" s="52"/>
      <c r="D49" s="139"/>
      <c r="E49" s="52"/>
      <c r="F49" s="52"/>
      <c r="G49" s="139"/>
      <c r="H49" s="128"/>
      <c r="I49" s="128"/>
      <c r="J49" s="52"/>
      <c r="K49" s="52"/>
      <c r="L49" s="52"/>
      <c r="M49" s="139"/>
      <c r="N49" s="139"/>
      <c r="O49" s="37">
        <v>0</v>
      </c>
      <c r="P49" s="37">
        <v>0</v>
      </c>
    </row>
    <row r="50" spans="1:16" ht="14.25" customHeight="1">
      <c r="A50" s="55">
        <v>34</v>
      </c>
      <c r="B50" s="69" t="s">
        <v>58</v>
      </c>
      <c r="C50" s="56">
        <f>SUM(D50:L50)</f>
        <v>8300</v>
      </c>
      <c r="D50" s="140">
        <f aca="true" t="shared" si="3" ref="D50:L50">SUM(D51:D53)</f>
        <v>5800</v>
      </c>
      <c r="E50" s="56">
        <f t="shared" si="3"/>
        <v>2500</v>
      </c>
      <c r="F50" s="56">
        <f t="shared" si="3"/>
        <v>0</v>
      </c>
      <c r="G50" s="140">
        <f t="shared" si="3"/>
        <v>0</v>
      </c>
      <c r="H50" s="140">
        <f t="shared" si="3"/>
        <v>0</v>
      </c>
      <c r="I50" s="140">
        <f t="shared" si="3"/>
        <v>0</v>
      </c>
      <c r="J50" s="56">
        <f t="shared" si="3"/>
        <v>0</v>
      </c>
      <c r="K50" s="56">
        <f t="shared" si="3"/>
        <v>0</v>
      </c>
      <c r="L50" s="56">
        <f t="shared" si="3"/>
        <v>0</v>
      </c>
      <c r="M50" s="140">
        <f>D50+E50</f>
        <v>8300</v>
      </c>
      <c r="N50" s="140">
        <v>8300</v>
      </c>
      <c r="O50" s="37">
        <v>0</v>
      </c>
      <c r="P50" s="37">
        <v>0</v>
      </c>
    </row>
    <row r="51" spans="1:16" ht="14.25" customHeight="1">
      <c r="A51" s="50">
        <v>3431</v>
      </c>
      <c r="B51" s="51" t="s">
        <v>59</v>
      </c>
      <c r="C51" s="52">
        <f>SUM(D51:L51)</f>
        <v>6000</v>
      </c>
      <c r="D51" s="139">
        <f>5000</f>
        <v>5000</v>
      </c>
      <c r="E51" s="52">
        <v>1000</v>
      </c>
      <c r="F51" s="52"/>
      <c r="G51" s="139"/>
      <c r="H51" s="128"/>
      <c r="I51" s="128"/>
      <c r="J51" s="52"/>
      <c r="K51" s="52"/>
      <c r="L51" s="52"/>
      <c r="M51" s="139"/>
      <c r="N51" s="139"/>
      <c r="O51" s="37">
        <v>0</v>
      </c>
      <c r="P51" s="37">
        <v>0</v>
      </c>
    </row>
    <row r="52" spans="1:14" ht="14.25" customHeight="1">
      <c r="A52" s="50">
        <v>3432</v>
      </c>
      <c r="B52" s="51" t="s">
        <v>93</v>
      </c>
      <c r="C52" s="52">
        <f>SUM(D52:L52)</f>
        <v>1000</v>
      </c>
      <c r="D52" s="139"/>
      <c r="E52" s="52">
        <v>1000</v>
      </c>
      <c r="F52" s="52"/>
      <c r="G52" s="139"/>
      <c r="H52" s="128"/>
      <c r="I52" s="128"/>
      <c r="J52" s="52"/>
      <c r="K52" s="52"/>
      <c r="L52" s="52"/>
      <c r="M52" s="139"/>
      <c r="N52" s="139"/>
    </row>
    <row r="53" spans="1:16" ht="14.25" customHeight="1">
      <c r="A53" s="50">
        <v>3433</v>
      </c>
      <c r="B53" s="51" t="s">
        <v>60</v>
      </c>
      <c r="C53" s="52">
        <f>SUM(D53:L53)</f>
        <v>1300</v>
      </c>
      <c r="D53" s="139">
        <f>800</f>
        <v>800</v>
      </c>
      <c r="E53" s="52">
        <v>500</v>
      </c>
      <c r="F53" s="52"/>
      <c r="G53" s="139"/>
      <c r="H53" s="128"/>
      <c r="I53" s="128"/>
      <c r="J53" s="52"/>
      <c r="K53" s="52"/>
      <c r="L53" s="52"/>
      <c r="M53" s="139"/>
      <c r="N53" s="139"/>
      <c r="O53" s="37">
        <v>0</v>
      </c>
      <c r="P53" s="37">
        <v>0</v>
      </c>
    </row>
    <row r="54" spans="1:14" ht="14.25" customHeight="1" hidden="1">
      <c r="A54" s="50"/>
      <c r="B54" s="51"/>
      <c r="C54" s="52"/>
      <c r="D54" s="139"/>
      <c r="E54" s="52"/>
      <c r="F54" s="52"/>
      <c r="G54" s="139"/>
      <c r="H54" s="128"/>
      <c r="I54" s="128"/>
      <c r="J54" s="52"/>
      <c r="K54" s="52"/>
      <c r="L54" s="52"/>
      <c r="M54" s="139"/>
      <c r="N54" s="139"/>
    </row>
    <row r="55" spans="1:14" ht="14.25" customHeight="1">
      <c r="A55" s="50"/>
      <c r="B55" s="51"/>
      <c r="C55" s="52"/>
      <c r="D55" s="139"/>
      <c r="E55" s="52"/>
      <c r="F55" s="52"/>
      <c r="G55" s="139"/>
      <c r="H55" s="128"/>
      <c r="I55" s="128"/>
      <c r="J55" s="52"/>
      <c r="K55" s="52"/>
      <c r="L55" s="52"/>
      <c r="M55" s="139"/>
      <c r="N55" s="139"/>
    </row>
    <row r="56" spans="1:14" ht="14.25" customHeight="1">
      <c r="A56" s="55">
        <v>36</v>
      </c>
      <c r="B56" s="57" t="s">
        <v>105</v>
      </c>
      <c r="C56" s="56">
        <f>SUM(D56:L56)</f>
        <v>134468.65</v>
      </c>
      <c r="D56" s="140"/>
      <c r="E56" s="56"/>
      <c r="F56" s="56"/>
      <c r="G56" s="140">
        <f>SUM(G58+G57)</f>
        <v>0</v>
      </c>
      <c r="H56" s="140">
        <f>SUM(H58+H57)</f>
        <v>75120.65</v>
      </c>
      <c r="I56" s="140">
        <f>SUM(I58+I57)</f>
        <v>59348</v>
      </c>
      <c r="J56" s="56"/>
      <c r="K56" s="56"/>
      <c r="L56" s="56"/>
      <c r="M56" s="139"/>
      <c r="N56" s="139"/>
    </row>
    <row r="57" spans="1:14" ht="14.25" customHeight="1">
      <c r="A57" s="50">
        <v>3681</v>
      </c>
      <c r="B57" s="51" t="s">
        <v>104</v>
      </c>
      <c r="C57" s="52">
        <f>SUM(D57:L57)</f>
        <v>60794.75</v>
      </c>
      <c r="D57" s="139"/>
      <c r="E57" s="52"/>
      <c r="F57" s="52"/>
      <c r="G57" s="139"/>
      <c r="H57" s="139">
        <f>8187.9+1488.2+2857.7+2976.4+7266.6+16570.75</f>
        <v>39347.55</v>
      </c>
      <c r="I57" s="139">
        <f>4485.5+4515+9608.4+2838.3</f>
        <v>21447.2</v>
      </c>
      <c r="J57" s="52"/>
      <c r="K57" s="52"/>
      <c r="L57" s="52"/>
      <c r="M57" s="139"/>
      <c r="N57" s="139"/>
    </row>
    <row r="58" spans="1:14" ht="14.25" customHeight="1">
      <c r="A58" s="50">
        <v>3693</v>
      </c>
      <c r="B58" s="51" t="s">
        <v>106</v>
      </c>
      <c r="C58" s="52">
        <f>SUM(D58:L58)</f>
        <v>73673.9</v>
      </c>
      <c r="D58" s="139"/>
      <c r="E58" s="52"/>
      <c r="F58" s="52"/>
      <c r="G58" s="139"/>
      <c r="H58" s="139">
        <f>1569.1+7080.5+6048.6+3889.6+9262+7923.3</f>
        <v>35773.1</v>
      </c>
      <c r="I58" s="139">
        <f>11879.2+11220.4+12859.6+1941.6</f>
        <v>37900.799999999996</v>
      </c>
      <c r="J58" s="52"/>
      <c r="K58" s="52"/>
      <c r="L58" s="52"/>
      <c r="M58" s="139"/>
      <c r="N58" s="139"/>
    </row>
    <row r="59" spans="1:14" ht="14.25" customHeight="1">
      <c r="A59" s="50"/>
      <c r="B59" s="51"/>
      <c r="C59" s="52"/>
      <c r="D59" s="139"/>
      <c r="E59" s="52"/>
      <c r="F59" s="52"/>
      <c r="G59" s="139"/>
      <c r="H59" s="139"/>
      <c r="I59" s="139"/>
      <c r="J59" s="52"/>
      <c r="K59" s="52"/>
      <c r="L59" s="52"/>
      <c r="M59" s="139"/>
      <c r="N59" s="139"/>
    </row>
    <row r="60" spans="1:14" ht="14.25" customHeight="1">
      <c r="A60" s="55">
        <v>37</v>
      </c>
      <c r="B60" s="57" t="s">
        <v>123</v>
      </c>
      <c r="C60" s="56">
        <f>SUM(D60:L60)</f>
        <v>8000</v>
      </c>
      <c r="D60" s="139"/>
      <c r="E60" s="52"/>
      <c r="F60" s="52"/>
      <c r="G60" s="140">
        <f>G61</f>
        <v>8000</v>
      </c>
      <c r="H60" s="139"/>
      <c r="I60" s="139"/>
      <c r="J60" s="52"/>
      <c r="K60" s="52"/>
      <c r="L60" s="52"/>
      <c r="M60" s="140">
        <v>8000</v>
      </c>
      <c r="N60" s="140">
        <v>8000</v>
      </c>
    </row>
    <row r="61" spans="1:14" ht="14.25" customHeight="1">
      <c r="A61" s="50">
        <v>3721</v>
      </c>
      <c r="B61" s="51" t="s">
        <v>124</v>
      </c>
      <c r="C61" s="52">
        <f>SUM(D61:L61)</f>
        <v>8000</v>
      </c>
      <c r="D61" s="139"/>
      <c r="E61" s="52"/>
      <c r="F61" s="52"/>
      <c r="G61" s="139">
        <f>8000</f>
        <v>8000</v>
      </c>
      <c r="H61" s="128"/>
      <c r="I61" s="128"/>
      <c r="J61" s="52"/>
      <c r="K61" s="52"/>
      <c r="L61" s="52"/>
      <c r="M61" s="139"/>
      <c r="N61" s="139"/>
    </row>
    <row r="62" spans="1:16" ht="14.25" customHeight="1">
      <c r="A62" s="50"/>
      <c r="B62" s="51"/>
      <c r="C62" s="52"/>
      <c r="D62" s="139"/>
      <c r="E62" s="52"/>
      <c r="F62" s="52"/>
      <c r="G62" s="139"/>
      <c r="H62" s="128"/>
      <c r="I62" s="128"/>
      <c r="J62" s="52"/>
      <c r="K62" s="52"/>
      <c r="L62" s="52"/>
      <c r="M62" s="139"/>
      <c r="N62" s="139"/>
      <c r="O62" s="37">
        <v>0</v>
      </c>
      <c r="P62" s="37">
        <v>0</v>
      </c>
    </row>
    <row r="63" spans="1:16" ht="14.25" customHeight="1">
      <c r="A63" s="55">
        <v>42</v>
      </c>
      <c r="B63" s="57" t="s">
        <v>61</v>
      </c>
      <c r="C63" s="56">
        <f aca="true" t="shared" si="4" ref="C63:C72">SUM(D63:L63)</f>
        <v>121300</v>
      </c>
      <c r="D63" s="140">
        <f>SUM(D64:D69)</f>
        <v>101000</v>
      </c>
      <c r="E63" s="56">
        <f>SUM(E64:E69)</f>
        <v>20300</v>
      </c>
      <c r="F63" s="56">
        <f aca="true" t="shared" si="5" ref="F63:L63">SUM(F64:F72)</f>
        <v>0</v>
      </c>
      <c r="G63" s="140">
        <f t="shared" si="5"/>
        <v>0</v>
      </c>
      <c r="H63" s="140">
        <f t="shared" si="5"/>
        <v>0</v>
      </c>
      <c r="I63" s="140">
        <f t="shared" si="5"/>
        <v>0</v>
      </c>
      <c r="J63" s="56">
        <f t="shared" si="5"/>
        <v>0</v>
      </c>
      <c r="K63" s="56">
        <f t="shared" si="5"/>
        <v>0</v>
      </c>
      <c r="L63" s="56">
        <f t="shared" si="5"/>
        <v>0</v>
      </c>
      <c r="M63" s="140">
        <v>56000</v>
      </c>
      <c r="N63" s="140">
        <v>56000</v>
      </c>
      <c r="O63" s="37">
        <v>0</v>
      </c>
      <c r="P63" s="37">
        <v>0</v>
      </c>
    </row>
    <row r="64" spans="1:16" ht="14.25" customHeight="1">
      <c r="A64" s="50">
        <v>4221</v>
      </c>
      <c r="B64" s="53" t="s">
        <v>62</v>
      </c>
      <c r="C64" s="52">
        <f t="shared" si="4"/>
        <v>75000</v>
      </c>
      <c r="D64" s="139">
        <v>60000</v>
      </c>
      <c r="E64" s="52">
        <v>15000</v>
      </c>
      <c r="F64" s="52"/>
      <c r="G64" s="139"/>
      <c r="H64" s="139"/>
      <c r="I64" s="139"/>
      <c r="J64" s="52"/>
      <c r="K64" s="52"/>
      <c r="L64" s="52"/>
      <c r="M64" s="139"/>
      <c r="N64" s="139"/>
      <c r="O64" s="37">
        <v>0</v>
      </c>
      <c r="P64" s="37">
        <v>0</v>
      </c>
    </row>
    <row r="65" spans="1:14" ht="14.25" customHeight="1">
      <c r="A65" s="50">
        <v>4222</v>
      </c>
      <c r="B65" s="53" t="s">
        <v>85</v>
      </c>
      <c r="C65" s="52">
        <f t="shared" si="4"/>
        <v>3000</v>
      </c>
      <c r="D65" s="139"/>
      <c r="E65" s="52">
        <v>3000</v>
      </c>
      <c r="F65" s="52"/>
      <c r="G65" s="139"/>
      <c r="H65" s="128"/>
      <c r="I65" s="128"/>
      <c r="J65" s="52"/>
      <c r="K65" s="52"/>
      <c r="L65" s="52"/>
      <c r="M65" s="139"/>
      <c r="N65" s="139"/>
    </row>
    <row r="66" spans="1:14" ht="14.25" customHeight="1">
      <c r="A66" s="50">
        <v>4223</v>
      </c>
      <c r="B66" s="53" t="s">
        <v>67</v>
      </c>
      <c r="C66" s="52">
        <f t="shared" si="4"/>
        <v>30000</v>
      </c>
      <c r="D66" s="139">
        <v>30000</v>
      </c>
      <c r="E66" s="52"/>
      <c r="F66" s="52"/>
      <c r="G66" s="139"/>
      <c r="H66" s="128"/>
      <c r="I66" s="128"/>
      <c r="J66" s="52"/>
      <c r="K66" s="52"/>
      <c r="L66" s="52"/>
      <c r="M66" s="139"/>
      <c r="N66" s="139"/>
    </row>
    <row r="67" spans="1:14" ht="14.25" customHeight="1">
      <c r="A67" s="50">
        <v>4226</v>
      </c>
      <c r="B67" s="53" t="s">
        <v>86</v>
      </c>
      <c r="C67" s="52">
        <f t="shared" si="4"/>
        <v>10000</v>
      </c>
      <c r="D67" s="139">
        <v>10000</v>
      </c>
      <c r="E67" s="52"/>
      <c r="F67" s="52"/>
      <c r="G67" s="139"/>
      <c r="H67" s="128"/>
      <c r="I67" s="128"/>
      <c r="J67" s="52"/>
      <c r="K67" s="52"/>
      <c r="L67" s="52"/>
      <c r="M67" s="139"/>
      <c r="N67" s="139"/>
    </row>
    <row r="68" spans="1:14" ht="27.75" customHeight="1">
      <c r="A68" s="50">
        <v>4227</v>
      </c>
      <c r="B68" s="70" t="s">
        <v>65</v>
      </c>
      <c r="C68" s="52">
        <f t="shared" si="4"/>
        <v>1300</v>
      </c>
      <c r="D68" s="139"/>
      <c r="E68" s="52">
        <v>1300</v>
      </c>
      <c r="F68" s="52"/>
      <c r="G68" s="139"/>
      <c r="H68" s="128"/>
      <c r="I68" s="128"/>
      <c r="J68" s="52"/>
      <c r="K68" s="52"/>
      <c r="L68" s="52"/>
      <c r="M68" s="139"/>
      <c r="N68" s="139"/>
    </row>
    <row r="69" spans="1:14" ht="14.25" customHeight="1">
      <c r="A69" s="50">
        <v>4241</v>
      </c>
      <c r="B69" s="53" t="s">
        <v>64</v>
      </c>
      <c r="C69" s="52">
        <f t="shared" si="4"/>
        <v>2000</v>
      </c>
      <c r="D69" s="139">
        <v>1000</v>
      </c>
      <c r="E69" s="52">
        <v>1000</v>
      </c>
      <c r="F69" s="52"/>
      <c r="G69" s="139"/>
      <c r="H69" s="128"/>
      <c r="I69" s="128"/>
      <c r="J69" s="52"/>
      <c r="K69" s="52"/>
      <c r="L69" s="52"/>
      <c r="M69" s="139"/>
      <c r="N69" s="139"/>
    </row>
    <row r="70" spans="1:14" ht="14.25" customHeight="1">
      <c r="A70" s="55">
        <v>45</v>
      </c>
      <c r="B70" s="69" t="s">
        <v>87</v>
      </c>
      <c r="C70" s="56">
        <f t="shared" si="4"/>
        <v>850000</v>
      </c>
      <c r="D70" s="140">
        <f>SUM(D71:D72)</f>
        <v>850000</v>
      </c>
      <c r="E70" s="140">
        <f aca="true" t="shared" si="6" ref="E70:L70">SUM(E71:E72)</f>
        <v>0</v>
      </c>
      <c r="F70" s="140">
        <f t="shared" si="6"/>
        <v>0</v>
      </c>
      <c r="G70" s="140">
        <f t="shared" si="6"/>
        <v>0</v>
      </c>
      <c r="H70" s="140">
        <f t="shared" si="6"/>
        <v>0</v>
      </c>
      <c r="I70" s="140">
        <f t="shared" si="6"/>
        <v>0</v>
      </c>
      <c r="J70" s="140">
        <f t="shared" si="6"/>
        <v>0</v>
      </c>
      <c r="K70" s="140">
        <f t="shared" si="6"/>
        <v>0</v>
      </c>
      <c r="L70" s="140">
        <f t="shared" si="6"/>
        <v>0</v>
      </c>
      <c r="M70" s="140">
        <v>500000</v>
      </c>
      <c r="N70" s="140">
        <v>500000</v>
      </c>
    </row>
    <row r="71" spans="1:14" ht="14.25" customHeight="1">
      <c r="A71" s="50">
        <v>4511</v>
      </c>
      <c r="B71" s="53" t="s">
        <v>63</v>
      </c>
      <c r="C71" s="52">
        <f t="shared" si="4"/>
        <v>850000</v>
      </c>
      <c r="D71" s="139">
        <f>850000</f>
        <v>850000</v>
      </c>
      <c r="E71" s="52"/>
      <c r="F71" s="52"/>
      <c r="G71" s="139"/>
      <c r="H71" s="128"/>
      <c r="I71" s="128"/>
      <c r="J71" s="52"/>
      <c r="K71" s="52"/>
      <c r="L71" s="52"/>
      <c r="M71" s="139"/>
      <c r="N71" s="139"/>
    </row>
    <row r="72" spans="1:14" ht="14.25" customHeight="1">
      <c r="A72" s="58">
        <v>4521</v>
      </c>
      <c r="B72" s="59" t="s">
        <v>103</v>
      </c>
      <c r="C72" s="52">
        <f t="shared" si="4"/>
        <v>0</v>
      </c>
      <c r="D72" s="141"/>
      <c r="E72" s="60"/>
      <c r="F72" s="60"/>
      <c r="G72" s="141"/>
      <c r="H72" s="129"/>
      <c r="I72" s="129"/>
      <c r="J72" s="60"/>
      <c r="K72" s="60"/>
      <c r="L72" s="60"/>
      <c r="M72" s="141"/>
      <c r="N72" s="141"/>
    </row>
    <row r="73" spans="1:16" ht="14.25" customHeight="1">
      <c r="A73" s="61"/>
      <c r="B73" s="35" t="s">
        <v>11</v>
      </c>
      <c r="C73" s="62">
        <f>SUM(C14:C17)+SUM(C21:C46)+SUM(C51:C53)+SUM(C64:C69)+C71+C72+SUM(C57:C58)+C61</f>
        <v>17225887.79</v>
      </c>
      <c r="D73" s="142">
        <f>SUM(D14:D17)+SUM(D21:D46)+SUM(D51:D53)+SUM(D64:D69)+D70</f>
        <v>3196706.4299999997</v>
      </c>
      <c r="E73" s="62">
        <f aca="true" t="shared" si="7" ref="E73:L73">SUM(E14:E17)+SUM(E21:E46)+SUM(E51:E53)+SUM(E64:E71)</f>
        <v>87500</v>
      </c>
      <c r="F73" s="62">
        <f t="shared" si="7"/>
        <v>251500</v>
      </c>
      <c r="G73" s="142">
        <f>SUM(G14:G17)+SUM(G21:G46)+SUM(G51:G53)+SUM(G64:G69)+SUM(G57:G58)+G61</f>
        <v>13114572.720000003</v>
      </c>
      <c r="H73" s="142">
        <f>SUM(H14:H17)+SUM(H21:H46)+SUM(H51:H53)+SUM(H64:H71)+SUM(H57:H58)</f>
        <v>159769.36</v>
      </c>
      <c r="I73" s="142">
        <f>SUM(I14:I17)+SUM(I21:I46)+SUM(I51:I53)+SUM(I64:I71)+SUM(I57:I58)</f>
        <v>413639.27999999997</v>
      </c>
      <c r="J73" s="62">
        <f t="shared" si="7"/>
        <v>2200</v>
      </c>
      <c r="K73" s="62">
        <f t="shared" si="7"/>
        <v>0</v>
      </c>
      <c r="L73" s="62">
        <f t="shared" si="7"/>
        <v>0</v>
      </c>
      <c r="M73" s="142">
        <f>SUM(M12+M20+M50+M63+M70+M60)</f>
        <v>16257480.150000002</v>
      </c>
      <c r="N73" s="142">
        <f>SUM(N12+N20+N50+N63+N70+N60)</f>
        <v>16257480.150000002</v>
      </c>
      <c r="O73" s="142">
        <f>SUM(O12+O20+O50+O63+O70+O60)</f>
        <v>0</v>
      </c>
      <c r="P73" s="142">
        <f>SUM(P12+P20+P50+P63+P70+P60)</f>
        <v>0</v>
      </c>
    </row>
    <row r="74" spans="1:16" ht="14.25" customHeight="1">
      <c r="A74" s="63"/>
      <c r="B74" s="64" t="s">
        <v>12</v>
      </c>
      <c r="C74" s="62">
        <f>SUM(C12+C20+C50+C63+C70+C56+C60)</f>
        <v>17225887.79</v>
      </c>
      <c r="D74" s="142">
        <f>SUM(D12+D20+D50+D63+D70)</f>
        <v>3196706.4299999997</v>
      </c>
      <c r="E74" s="62">
        <f aca="true" t="shared" si="8" ref="E74:L74">SUM(E12+E20+E50+E63)</f>
        <v>87500</v>
      </c>
      <c r="F74" s="62">
        <f t="shared" si="8"/>
        <v>251500</v>
      </c>
      <c r="G74" s="142">
        <f>SUM(G12+G20+G50+G63+G56+G60+G70)</f>
        <v>13114572.720000003</v>
      </c>
      <c r="H74" s="142">
        <f>SUM(H12+H20+H50+H63+H56)</f>
        <v>159769.36</v>
      </c>
      <c r="I74" s="142">
        <f>SUM(I12+I20+I50+I63+I56)</f>
        <v>413639.27999999997</v>
      </c>
      <c r="J74" s="62">
        <f t="shared" si="8"/>
        <v>2200</v>
      </c>
      <c r="K74" s="62">
        <f t="shared" si="8"/>
        <v>0</v>
      </c>
      <c r="L74" s="62">
        <f t="shared" si="8"/>
        <v>0</v>
      </c>
      <c r="M74" s="142">
        <f>M12+M20+M50+M63+M70+M60</f>
        <v>16257480.150000002</v>
      </c>
      <c r="N74" s="142">
        <f>N12+N20+N50+N63+N70+N60</f>
        <v>16257480.150000002</v>
      </c>
      <c r="O74" s="37">
        <v>0</v>
      </c>
      <c r="P74" s="37">
        <v>0</v>
      </c>
    </row>
  </sheetData>
  <sheetProtection/>
  <mergeCells count="1">
    <mergeCell ref="A1:L1"/>
  </mergeCells>
  <printOptions/>
  <pageMargins left="0.1968503937007874" right="0.1968503937007874" top="0" bottom="0" header="0.7086614173228347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2018-11-25T11:43:17Z</cp:lastPrinted>
  <dcterms:created xsi:type="dcterms:W3CDTF">1996-10-14T23:33:28Z</dcterms:created>
  <dcterms:modified xsi:type="dcterms:W3CDTF">2018-11-26T06:15:02Z</dcterms:modified>
  <cp:category/>
  <cp:version/>
  <cp:contentType/>
  <cp:contentStatus/>
</cp:coreProperties>
</file>